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/>
  <mc:AlternateContent xmlns:mc="http://schemas.openxmlformats.org/markup-compatibility/2006">
    <mc:Choice Requires="x15">
      <x15ac:absPath xmlns:x15ac="http://schemas.microsoft.com/office/spreadsheetml/2010/11/ac" url="C:\Users\jonat_000\Desktop\"/>
    </mc:Choice>
  </mc:AlternateContent>
  <bookViews>
    <workbookView xWindow="0" yWindow="0" windowWidth="20490" windowHeight="7455" activeTab="3"/>
  </bookViews>
  <sheets>
    <sheet name="Risk Overview" sheetId="14" r:id="rId1"/>
    <sheet name="Company, incl. Services" sheetId="4" r:id="rId2"/>
    <sheet name="Customer" sheetId="6" r:id="rId3"/>
    <sheet name="Jurisdictions" sheetId="7" r:id="rId4"/>
    <sheet name="Transactions" sheetId="13" r:id="rId5"/>
    <sheet name="Support" sheetId="8" r:id="rId6"/>
  </sheets>
  <externalReferences>
    <externalReference r:id="rId7"/>
  </externalReferences>
  <definedNames>
    <definedName name="countrylist">Jurisdictions!$A$4:$A$31</definedName>
    <definedName name="customerlist">Customer!$D$3:$AA$3</definedName>
    <definedName name="Custrisk">Support!$A$83:$A$84</definedName>
    <definedName name="legalid">Support!$A$46:$A$55</definedName>
    <definedName name="Legallayer">Support!$A$69:$A$74</definedName>
    <definedName name="Listofcos">'Company, incl. Services'!$D$3:$AA$3</definedName>
    <definedName name="mgtclass">Support!$A$77:$A$80</definedName>
    <definedName name="Ops">'Company, incl. Services'!$D$3:$G$3</definedName>
    <definedName name="sensetiveid">Support!$A$2:$A$43</definedName>
    <definedName name="yesno">Support!$A$58:$A$59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3" l="1"/>
  <c r="M28" i="7"/>
  <c r="N28" i="7" s="1"/>
  <c r="G28" i="7"/>
  <c r="F28" i="7"/>
  <c r="E28" i="7"/>
  <c r="M29" i="7"/>
  <c r="N29" i="7" s="1"/>
  <c r="F29" i="7"/>
  <c r="G29" i="7" s="1"/>
  <c r="E29" i="7"/>
  <c r="G23" i="4"/>
  <c r="F23" i="4"/>
  <c r="E23" i="4"/>
  <c r="D23" i="4"/>
  <c r="G21" i="4"/>
  <c r="F21" i="4"/>
  <c r="E21" i="4"/>
  <c r="D21" i="4"/>
  <c r="M31" i="7" l="1"/>
  <c r="M30" i="7"/>
  <c r="M27" i="7"/>
  <c r="M26" i="7"/>
  <c r="M25" i="7"/>
  <c r="E31" i="7"/>
  <c r="E30" i="7"/>
  <c r="E27" i="7"/>
  <c r="E26" i="7"/>
  <c r="E25" i="7"/>
  <c r="E24" i="7"/>
  <c r="E23" i="7"/>
  <c r="E22" i="7"/>
  <c r="E21" i="7"/>
  <c r="E20" i="7"/>
  <c r="G23" i="7"/>
  <c r="F31" i="7"/>
  <c r="G31" i="7" s="1"/>
  <c r="F30" i="7"/>
  <c r="G30" i="7" s="1"/>
  <c r="F27" i="7"/>
  <c r="G27" i="7" s="1"/>
  <c r="F26" i="7"/>
  <c r="G26" i="7" s="1"/>
  <c r="F25" i="7"/>
  <c r="G25" i="7" s="1"/>
  <c r="F24" i="7"/>
  <c r="G24" i="7" s="1"/>
  <c r="F23" i="7"/>
  <c r="F22" i="7"/>
  <c r="G22" i="7" s="1"/>
  <c r="F21" i="7"/>
  <c r="G21" i="7" s="1"/>
  <c r="F20" i="7"/>
  <c r="G20" i="7" s="1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H5" i="13" l="1"/>
  <c r="H12" i="13"/>
  <c r="K12" i="13" s="1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C42" i="4"/>
  <c r="B23" i="6"/>
  <c r="B25" i="6"/>
  <c r="D64" i="4"/>
  <c r="D63" i="4"/>
  <c r="D62" i="4"/>
  <c r="D61" i="4"/>
  <c r="E64" i="4"/>
  <c r="E63" i="4"/>
  <c r="E62" i="4"/>
  <c r="E14" i="7"/>
  <c r="E67" i="6" s="1"/>
  <c r="E18" i="7"/>
  <c r="E71" i="6" s="1"/>
  <c r="G12" i="13"/>
  <c r="E5" i="7"/>
  <c r="E58" i="6" s="1"/>
  <c r="E8" i="7"/>
  <c r="E61" i="6" s="1"/>
  <c r="E15" i="7"/>
  <c r="E68" i="6" s="1"/>
  <c r="E13" i="7"/>
  <c r="E66" i="6" s="1"/>
  <c r="E17" i="7"/>
  <c r="E70" i="6" s="1"/>
  <c r="H8" i="13"/>
  <c r="K8" i="13" s="1"/>
  <c r="E7" i="7"/>
  <c r="E60" i="6" s="1"/>
  <c r="H9" i="13"/>
  <c r="K9" i="13" s="1"/>
  <c r="E11" i="7"/>
  <c r="E64" i="6" s="1"/>
  <c r="K10" i="13"/>
  <c r="H11" i="13"/>
  <c r="K11" i="13" s="1"/>
  <c r="K5" i="13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D35" i="14" s="1"/>
  <c r="B62" i="4"/>
  <c r="D34" i="14" s="1"/>
  <c r="B61" i="4"/>
  <c r="D33" i="14" s="1"/>
  <c r="B14" i="4"/>
  <c r="B27" i="6"/>
  <c r="B42" i="6"/>
  <c r="B13" i="6"/>
  <c r="B14" i="6"/>
  <c r="B4" i="6"/>
  <c r="B5" i="6"/>
  <c r="B6" i="6" s="1"/>
  <c r="F19" i="7"/>
  <c r="G19" i="7" s="1"/>
  <c r="F18" i="7"/>
  <c r="G18" i="7" s="1"/>
  <c r="F17" i="7"/>
  <c r="G17" i="7" s="1"/>
  <c r="F16" i="7"/>
  <c r="F15" i="7"/>
  <c r="G15" i="7" s="1"/>
  <c r="F14" i="7"/>
  <c r="G14" i="7" s="1"/>
  <c r="F13" i="7"/>
  <c r="G13" i="7" s="1"/>
  <c r="F12" i="7"/>
  <c r="F11" i="7"/>
  <c r="G11" i="7" s="1"/>
  <c r="F10" i="7"/>
  <c r="G10" i="7" s="1"/>
  <c r="F8" i="7"/>
  <c r="G8" i="7" s="1"/>
  <c r="F7" i="7"/>
  <c r="F6" i="7"/>
  <c r="G6" i="7" s="1"/>
  <c r="F5" i="7"/>
  <c r="G5" i="7" s="1"/>
  <c r="F4" i="7"/>
  <c r="G4" i="7" s="1"/>
  <c r="F9" i="7"/>
  <c r="G9" i="7" s="1"/>
  <c r="E19" i="7"/>
  <c r="E72" i="6" s="1"/>
  <c r="E16" i="7"/>
  <c r="E69" i="6" s="1"/>
  <c r="E12" i="7"/>
  <c r="E65" i="6" s="1"/>
  <c r="E10" i="7"/>
  <c r="E63" i="6" s="1"/>
  <c r="E9" i="7"/>
  <c r="E62" i="6" s="1"/>
  <c r="E6" i="7"/>
  <c r="E59" i="6" s="1"/>
  <c r="E4" i="7"/>
  <c r="E57" i="6" s="1"/>
  <c r="B24" i="6"/>
  <c r="E77" i="6"/>
  <c r="E76" i="6"/>
  <c r="E75" i="6"/>
  <c r="E74" i="6"/>
  <c r="E73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B30" i="4"/>
  <c r="B6" i="14" s="1"/>
  <c r="B52" i="6"/>
  <c r="A3" i="14"/>
  <c r="B22" i="6"/>
  <c r="B21" i="6"/>
  <c r="B20" i="6"/>
  <c r="B19" i="6"/>
  <c r="B17" i="6"/>
  <c r="B16" i="6"/>
  <c r="B20" i="13"/>
  <c r="B18" i="13"/>
  <c r="F7" i="13" s="1"/>
  <c r="B19" i="13"/>
  <c r="E61" i="4"/>
  <c r="A79" i="14"/>
  <c r="A78" i="14"/>
  <c r="A7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62" i="14"/>
  <c r="A61" i="14"/>
  <c r="A60" i="14"/>
  <c r="A59" i="14"/>
  <c r="A58" i="14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61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I73" i="6"/>
  <c r="K73" i="6"/>
  <c r="L73" i="6"/>
  <c r="M73" i="6"/>
  <c r="N73" i="6"/>
  <c r="O73" i="6"/>
  <c r="H74" i="6"/>
  <c r="H75" i="6"/>
  <c r="H76" i="6"/>
  <c r="H77" i="6"/>
  <c r="B33" i="4"/>
  <c r="B11" i="4"/>
  <c r="B9" i="4"/>
  <c r="H13" i="13"/>
  <c r="J13" i="13" s="1"/>
  <c r="B57" i="6"/>
  <c r="B38" i="14" s="1"/>
  <c r="D32" i="14"/>
  <c r="D31" i="14"/>
  <c r="C54" i="4"/>
  <c r="E54" i="4"/>
  <c r="F54" i="4"/>
  <c r="G54" i="4"/>
  <c r="C53" i="4"/>
  <c r="E53" i="4"/>
  <c r="F53" i="4"/>
  <c r="G53" i="4"/>
  <c r="C52" i="4"/>
  <c r="E52" i="4"/>
  <c r="F52" i="4"/>
  <c r="G52" i="4"/>
  <c r="C51" i="4"/>
  <c r="E51" i="4"/>
  <c r="F51" i="4"/>
  <c r="G51" i="4"/>
  <c r="C50" i="4"/>
  <c r="E50" i="4"/>
  <c r="F50" i="4"/>
  <c r="G50" i="4"/>
  <c r="C49" i="4"/>
  <c r="E49" i="4"/>
  <c r="F49" i="4"/>
  <c r="G49" i="4"/>
  <c r="C48" i="4"/>
  <c r="E48" i="4"/>
  <c r="F48" i="4"/>
  <c r="G48" i="4"/>
  <c r="C47" i="4"/>
  <c r="E47" i="4"/>
  <c r="F47" i="4"/>
  <c r="G47" i="4"/>
  <c r="C46" i="4"/>
  <c r="E46" i="4"/>
  <c r="F46" i="4"/>
  <c r="G46" i="4"/>
  <c r="C45" i="4"/>
  <c r="E45" i="4"/>
  <c r="F45" i="4"/>
  <c r="G45" i="4"/>
  <c r="C44" i="4"/>
  <c r="E44" i="4"/>
  <c r="F44" i="4"/>
  <c r="G44" i="4"/>
  <c r="C43" i="4"/>
  <c r="E43" i="4"/>
  <c r="F43" i="4"/>
  <c r="G43" i="4"/>
  <c r="E42" i="4"/>
  <c r="F42" i="4"/>
  <c r="G42" i="4"/>
  <c r="C41" i="4"/>
  <c r="E41" i="4"/>
  <c r="F41" i="4"/>
  <c r="G41" i="4"/>
  <c r="C40" i="4"/>
  <c r="E40" i="4"/>
  <c r="F40" i="4"/>
  <c r="G40" i="4"/>
  <c r="C39" i="4"/>
  <c r="E39" i="4"/>
  <c r="F39" i="4"/>
  <c r="G39" i="4"/>
  <c r="B22" i="4"/>
  <c r="B19" i="4"/>
  <c r="B20" i="4"/>
  <c r="O77" i="6"/>
  <c r="O76" i="6"/>
  <c r="O75" i="6"/>
  <c r="O74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N77" i="6"/>
  <c r="N76" i="6"/>
  <c r="N75" i="6"/>
  <c r="N74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M77" i="6"/>
  <c r="M76" i="6"/>
  <c r="M75" i="6"/>
  <c r="M74" i="6"/>
  <c r="M72" i="6"/>
  <c r="M71" i="6"/>
  <c r="M70" i="6"/>
  <c r="M69" i="6"/>
  <c r="M68" i="6"/>
  <c r="M67" i="6"/>
  <c r="M14" i="7" s="1"/>
  <c r="N14" i="7" s="1"/>
  <c r="M66" i="6"/>
  <c r="M13" i="7" s="1"/>
  <c r="N13" i="7" s="1"/>
  <c r="M65" i="6"/>
  <c r="M12" i="7" s="1"/>
  <c r="N12" i="7" s="1"/>
  <c r="M64" i="6"/>
  <c r="M11" i="7" s="1"/>
  <c r="N11" i="7" s="1"/>
  <c r="M63" i="6"/>
  <c r="M10" i="7" s="1"/>
  <c r="N10" i="7" s="1"/>
  <c r="M62" i="6"/>
  <c r="M9" i="7" s="1"/>
  <c r="N9" i="7" s="1"/>
  <c r="M61" i="6"/>
  <c r="M8" i="7" s="1"/>
  <c r="N8" i="7" s="1"/>
  <c r="M60" i="6"/>
  <c r="M7" i="7" s="1"/>
  <c r="N7" i="7" s="1"/>
  <c r="M59" i="6"/>
  <c r="M6" i="7" s="1"/>
  <c r="N6" i="7" s="1"/>
  <c r="M58" i="6"/>
  <c r="M5" i="7" s="1"/>
  <c r="L77" i="6"/>
  <c r="L76" i="6"/>
  <c r="L75" i="6"/>
  <c r="L74" i="6"/>
  <c r="I74" i="6"/>
  <c r="K74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K77" i="6"/>
  <c r="K76" i="6"/>
  <c r="K75" i="6"/>
  <c r="K72" i="6"/>
  <c r="K71" i="6"/>
  <c r="K70" i="6"/>
  <c r="I70" i="6"/>
  <c r="K69" i="6"/>
  <c r="K68" i="6"/>
  <c r="K67" i="6"/>
  <c r="K66" i="6"/>
  <c r="I66" i="6"/>
  <c r="K65" i="6"/>
  <c r="I65" i="6"/>
  <c r="K64" i="6"/>
  <c r="K63" i="6"/>
  <c r="K62" i="6"/>
  <c r="K61" i="6"/>
  <c r="I61" i="6"/>
  <c r="K60" i="6"/>
  <c r="K59" i="6"/>
  <c r="K58" i="6"/>
  <c r="I77" i="6"/>
  <c r="I76" i="6"/>
  <c r="I75" i="6"/>
  <c r="I72" i="6"/>
  <c r="I71" i="6"/>
  <c r="I69" i="6"/>
  <c r="I68" i="6"/>
  <c r="I67" i="6"/>
  <c r="I64" i="6"/>
  <c r="I63" i="6"/>
  <c r="I62" i="6"/>
  <c r="I60" i="6"/>
  <c r="I59" i="6"/>
  <c r="I58" i="6"/>
  <c r="O57" i="6"/>
  <c r="N57" i="6"/>
  <c r="M57" i="6"/>
  <c r="M4" i="7" s="1"/>
  <c r="N4" i="7" s="1"/>
  <c r="L57" i="6"/>
  <c r="K57" i="6"/>
  <c r="I57" i="6"/>
  <c r="B98" i="6"/>
  <c r="B79" i="14" s="1"/>
  <c r="B97" i="6"/>
  <c r="B78" i="14" s="1"/>
  <c r="B96" i="6"/>
  <c r="B77" i="14" s="1"/>
  <c r="B95" i="6"/>
  <c r="B76" i="14" s="1"/>
  <c r="B94" i="6"/>
  <c r="B75" i="14" s="1"/>
  <c r="B93" i="6"/>
  <c r="B74" i="14"/>
  <c r="B92" i="6"/>
  <c r="B73" i="14" s="1"/>
  <c r="B91" i="6"/>
  <c r="B72" i="14" s="1"/>
  <c r="B90" i="6"/>
  <c r="B71" i="14" s="1"/>
  <c r="B89" i="6"/>
  <c r="B70" i="14" s="1"/>
  <c r="B88" i="6"/>
  <c r="B69" i="14" s="1"/>
  <c r="B87" i="6"/>
  <c r="B68" i="14"/>
  <c r="B86" i="6"/>
  <c r="B67" i="14" s="1"/>
  <c r="B85" i="6"/>
  <c r="B66" i="14" s="1"/>
  <c r="B84" i="6"/>
  <c r="B65" i="14" s="1"/>
  <c r="B83" i="6"/>
  <c r="B64" i="14" s="1"/>
  <c r="B82" i="6"/>
  <c r="B63" i="14" s="1"/>
  <c r="B81" i="6"/>
  <c r="B62" i="14" s="1"/>
  <c r="B80" i="6"/>
  <c r="B61" i="14" s="1"/>
  <c r="B79" i="6"/>
  <c r="B60" i="14"/>
  <c r="B78" i="6"/>
  <c r="B59" i="14" s="1"/>
  <c r="B77" i="6"/>
  <c r="B58" i="14"/>
  <c r="B76" i="6"/>
  <c r="B57" i="14" s="1"/>
  <c r="B75" i="6"/>
  <c r="B56" i="14" s="1"/>
  <c r="B74" i="6"/>
  <c r="B55" i="14" s="1"/>
  <c r="B73" i="6"/>
  <c r="B54" i="14" s="1"/>
  <c r="B72" i="6"/>
  <c r="B53" i="14" s="1"/>
  <c r="B71" i="6"/>
  <c r="B52" i="14" s="1"/>
  <c r="B70" i="6"/>
  <c r="B51" i="14" s="1"/>
  <c r="B69" i="6"/>
  <c r="B50" i="14" s="1"/>
  <c r="B68" i="6"/>
  <c r="B49" i="14" s="1"/>
  <c r="B67" i="6"/>
  <c r="B48" i="14" s="1"/>
  <c r="B66" i="6"/>
  <c r="B47" i="14" s="1"/>
  <c r="B65" i="6"/>
  <c r="B46" i="14" s="1"/>
  <c r="B64" i="6"/>
  <c r="B45" i="14" s="1"/>
  <c r="B63" i="6"/>
  <c r="B44" i="14"/>
  <c r="B62" i="6"/>
  <c r="B43" i="14" s="1"/>
  <c r="B61" i="6"/>
  <c r="B42" i="14" s="1"/>
  <c r="B60" i="6"/>
  <c r="B41" i="14" s="1"/>
  <c r="B59" i="6"/>
  <c r="B40" i="14" s="1"/>
  <c r="B58" i="6"/>
  <c r="B39" i="14" s="1"/>
  <c r="B34" i="6"/>
  <c r="B48" i="6"/>
  <c r="B8" i="6"/>
  <c r="B25" i="4"/>
  <c r="G7" i="13"/>
  <c r="G9" i="13"/>
  <c r="C19" i="13"/>
  <c r="G8" i="13"/>
  <c r="G5" i="13"/>
  <c r="G11" i="13"/>
  <c r="B17" i="4"/>
  <c r="B16" i="4"/>
  <c r="B15" i="4"/>
  <c r="B28" i="6"/>
  <c r="B26" i="4"/>
  <c r="E86" i="6"/>
  <c r="E85" i="6"/>
  <c r="E84" i="6"/>
  <c r="E83" i="6"/>
  <c r="G7" i="7"/>
  <c r="G12" i="7"/>
  <c r="G16" i="7"/>
  <c r="B44" i="6"/>
  <c r="B45" i="6"/>
  <c r="B46" i="6"/>
  <c r="B47" i="6"/>
  <c r="B30" i="6"/>
  <c r="B32" i="6"/>
  <c r="B31" i="6"/>
  <c r="B33" i="6"/>
  <c r="B10" i="6"/>
  <c r="M11" i="6" s="1"/>
  <c r="B9" i="6"/>
  <c r="B18" i="6"/>
  <c r="B50" i="6"/>
  <c r="N51" i="6" s="1"/>
  <c r="P11" i="6"/>
  <c r="I11" i="6"/>
  <c r="O51" i="6"/>
  <c r="G6" i="13"/>
  <c r="G10" i="13"/>
  <c r="H7" i="13"/>
  <c r="H6" i="13"/>
  <c r="J6" i="13" s="1"/>
  <c r="B7" i="14" l="1"/>
  <c r="B15" i="6"/>
  <c r="B4" i="14" s="1"/>
  <c r="F8" i="13"/>
  <c r="F12" i="13"/>
  <c r="C21" i="13"/>
  <c r="B12" i="14" s="1"/>
  <c r="F6" i="13"/>
  <c r="I6" i="13" s="1"/>
  <c r="L6" i="13" s="1"/>
  <c r="I7" i="13"/>
  <c r="L7" i="13" s="1"/>
  <c r="F10" i="4"/>
  <c r="E10" i="4"/>
  <c r="G10" i="4"/>
  <c r="D10" i="4"/>
  <c r="F12" i="4"/>
  <c r="E12" i="4"/>
  <c r="D12" i="4"/>
  <c r="G12" i="4"/>
  <c r="F34" i="4"/>
  <c r="D34" i="4"/>
  <c r="E34" i="4"/>
  <c r="B9" i="14"/>
  <c r="J51" i="6"/>
  <c r="F51" i="6"/>
  <c r="E51" i="6"/>
  <c r="D51" i="6"/>
  <c r="H51" i="6"/>
  <c r="I51" i="6"/>
  <c r="R51" i="6"/>
  <c r="L51" i="6"/>
  <c r="Q51" i="6"/>
  <c r="G51" i="6"/>
  <c r="K51" i="6"/>
  <c r="H11" i="6"/>
  <c r="E11" i="6"/>
  <c r="F11" i="6"/>
  <c r="D11" i="6"/>
  <c r="B3" i="14"/>
  <c r="N31" i="7"/>
  <c r="M24" i="7"/>
  <c r="N24" i="7" s="1"/>
  <c r="N27" i="7"/>
  <c r="M22" i="7"/>
  <c r="N30" i="7"/>
  <c r="M23" i="7"/>
  <c r="N23" i="7" s="1"/>
  <c r="N25" i="7"/>
  <c r="M20" i="7"/>
  <c r="N20" i="7" s="1"/>
  <c r="N26" i="7"/>
  <c r="M21" i="7"/>
  <c r="N21" i="7" s="1"/>
  <c r="M18" i="7"/>
  <c r="N18" i="7" s="1"/>
  <c r="M15" i="7"/>
  <c r="N15" i="7" s="1"/>
  <c r="M19" i="7"/>
  <c r="N19" i="7" s="1"/>
  <c r="M17" i="7"/>
  <c r="N17" i="7" s="1"/>
  <c r="N22" i="7"/>
  <c r="M16" i="7"/>
  <c r="N16" i="7" s="1"/>
  <c r="I8" i="13"/>
  <c r="L8" i="13" s="1"/>
  <c r="D75" i="6"/>
  <c r="H29" i="7" s="1"/>
  <c r="D76" i="6"/>
  <c r="H30" i="7" s="1"/>
  <c r="I30" i="7" s="1"/>
  <c r="B41" i="4"/>
  <c r="D17" i="14" s="1"/>
  <c r="D65" i="6"/>
  <c r="H12" i="7" s="1"/>
  <c r="I12" i="7" s="1"/>
  <c r="B46" i="4"/>
  <c r="D22" i="14" s="1"/>
  <c r="D57" i="6"/>
  <c r="H4" i="7" s="1"/>
  <c r="I4" i="7" s="1"/>
  <c r="D59" i="6"/>
  <c r="H6" i="7" s="1"/>
  <c r="I6" i="7" s="1"/>
  <c r="D77" i="6"/>
  <c r="H31" i="7" s="1"/>
  <c r="I31" i="7" s="1"/>
  <c r="D69" i="6"/>
  <c r="D63" i="6"/>
  <c r="H10" i="7" s="1"/>
  <c r="I10" i="7" s="1"/>
  <c r="D71" i="6"/>
  <c r="B39" i="4"/>
  <c r="D15" i="14" s="1"/>
  <c r="D67" i="6"/>
  <c r="H14" i="7" s="1"/>
  <c r="I14" i="7" s="1"/>
  <c r="F76" i="6"/>
  <c r="B34" i="14" s="1"/>
  <c r="B45" i="4"/>
  <c r="D21" i="14" s="1"/>
  <c r="J8" i="13"/>
  <c r="I13" i="13"/>
  <c r="L13" i="13" s="1"/>
  <c r="J11" i="13"/>
  <c r="D74" i="6"/>
  <c r="I12" i="13"/>
  <c r="L12" i="13" s="1"/>
  <c r="B42" i="4"/>
  <c r="D18" i="14" s="1"/>
  <c r="J5" i="13"/>
  <c r="J9" i="13"/>
  <c r="J10" i="13"/>
  <c r="J12" i="13"/>
  <c r="K13" i="13"/>
  <c r="D61" i="6"/>
  <c r="H8" i="7" s="1"/>
  <c r="I8" i="7" s="1"/>
  <c r="K6" i="13"/>
  <c r="K7" i="13"/>
  <c r="F11" i="13"/>
  <c r="I11" i="13" s="1"/>
  <c r="L11" i="13" s="1"/>
  <c r="F9" i="13"/>
  <c r="I9" i="13" s="1"/>
  <c r="L9" i="13" s="1"/>
  <c r="J7" i="13"/>
  <c r="F5" i="13"/>
  <c r="F10" i="13"/>
  <c r="I10" i="13" s="1"/>
  <c r="L10" i="13" s="1"/>
  <c r="P51" i="6"/>
  <c r="M51" i="6"/>
  <c r="N5" i="7"/>
  <c r="D72" i="6"/>
  <c r="D73" i="6"/>
  <c r="H25" i="7" s="1"/>
  <c r="I25" i="7" s="1"/>
  <c r="D70" i="6"/>
  <c r="D66" i="6"/>
  <c r="F66" i="6" s="1"/>
  <c r="D62" i="6"/>
  <c r="H9" i="7" s="1"/>
  <c r="I9" i="7" s="1"/>
  <c r="D58" i="6"/>
  <c r="H5" i="7" s="1"/>
  <c r="I5" i="7" s="1"/>
  <c r="D68" i="6"/>
  <c r="D64" i="6"/>
  <c r="H11" i="7" s="1"/>
  <c r="I11" i="7" s="1"/>
  <c r="D60" i="6"/>
  <c r="H7" i="7" s="1"/>
  <c r="I7" i="7" s="1"/>
  <c r="B5" i="14"/>
  <c r="J11" i="6"/>
  <c r="G11" i="6"/>
  <c r="Q11" i="6"/>
  <c r="R11" i="6"/>
  <c r="O11" i="6"/>
  <c r="L11" i="6"/>
  <c r="N11" i="6"/>
  <c r="K11" i="6"/>
  <c r="B43" i="4"/>
  <c r="D19" i="14" s="1"/>
  <c r="B52" i="4"/>
  <c r="D28" i="14" s="1"/>
  <c r="B53" i="4"/>
  <c r="D29" i="14" s="1"/>
  <c r="B40" i="4"/>
  <c r="D16" i="14" s="1"/>
  <c r="B49" i="4"/>
  <c r="D25" i="14" s="1"/>
  <c r="B44" i="4"/>
  <c r="D20" i="14" s="1"/>
  <c r="B47" i="4"/>
  <c r="D23" i="14" s="1"/>
  <c r="B48" i="4"/>
  <c r="D24" i="14" s="1"/>
  <c r="B50" i="4"/>
  <c r="D26" i="14" s="1"/>
  <c r="B51" i="4"/>
  <c r="D27" i="14" s="1"/>
  <c r="B54" i="4"/>
  <c r="D30" i="14" s="1"/>
  <c r="B21" i="4"/>
  <c r="B8" i="14"/>
  <c r="B34" i="4"/>
  <c r="B22" i="13"/>
  <c r="B23" i="13"/>
  <c r="B24" i="13"/>
  <c r="H26" i="7" l="1"/>
  <c r="I26" i="7" s="1"/>
  <c r="H28" i="7"/>
  <c r="I28" i="7" s="1"/>
  <c r="F75" i="6"/>
  <c r="B33" i="14" s="1"/>
  <c r="I29" i="7"/>
  <c r="B21" i="13"/>
  <c r="B11" i="14" s="1"/>
  <c r="F59" i="6"/>
  <c r="B17" i="14" s="1"/>
  <c r="M32" i="7"/>
  <c r="H16" i="7"/>
  <c r="I16" i="7" s="1"/>
  <c r="H21" i="7"/>
  <c r="I21" i="7" s="1"/>
  <c r="H15" i="7"/>
  <c r="I15" i="7" s="1"/>
  <c r="H20" i="7"/>
  <c r="I20" i="7" s="1"/>
  <c r="H17" i="7"/>
  <c r="I17" i="7" s="1"/>
  <c r="H22" i="7"/>
  <c r="I22" i="7" s="1"/>
  <c r="H18" i="7"/>
  <c r="I18" i="7" s="1"/>
  <c r="H23" i="7"/>
  <c r="I23" i="7" s="1"/>
  <c r="F72" i="6"/>
  <c r="B30" i="14" s="1"/>
  <c r="H24" i="7"/>
  <c r="I24" i="7" s="1"/>
  <c r="F67" i="6"/>
  <c r="B25" i="14" s="1"/>
  <c r="F77" i="6"/>
  <c r="B35" i="14" s="1"/>
  <c r="F71" i="6"/>
  <c r="B29" i="14" s="1"/>
  <c r="F74" i="6"/>
  <c r="B32" i="14" s="1"/>
  <c r="F64" i="6"/>
  <c r="B22" i="14" s="1"/>
  <c r="F65" i="6"/>
  <c r="B23" i="14" s="1"/>
  <c r="H27" i="7"/>
  <c r="I27" i="7" s="1"/>
  <c r="F70" i="6"/>
  <c r="B28" i="14" s="1"/>
  <c r="F69" i="6"/>
  <c r="B27" i="14" s="1"/>
  <c r="H19" i="7"/>
  <c r="I19" i="7" s="1"/>
  <c r="F68" i="6"/>
  <c r="B26" i="14" s="1"/>
  <c r="F57" i="6"/>
  <c r="B15" i="14" s="1"/>
  <c r="F58" i="6"/>
  <c r="B16" i="14" s="1"/>
  <c r="F63" i="6"/>
  <c r="B21" i="14" s="1"/>
  <c r="H13" i="7"/>
  <c r="I13" i="7" s="1"/>
  <c r="F61" i="6"/>
  <c r="B19" i="14" s="1"/>
  <c r="F62" i="6"/>
  <c r="B20" i="14" s="1"/>
  <c r="F73" i="6"/>
  <c r="B31" i="14" s="1"/>
  <c r="F60" i="6"/>
  <c r="B18" i="14" s="1"/>
  <c r="D78" i="6"/>
  <c r="F9" i="14"/>
  <c r="F8" i="14"/>
  <c r="F7" i="14"/>
  <c r="I5" i="13"/>
  <c r="L5" i="13" s="1"/>
  <c r="N32" i="7"/>
  <c r="O28" i="7" s="1"/>
  <c r="B24" i="14"/>
  <c r="C22" i="13"/>
  <c r="C23" i="13"/>
  <c r="C24" i="13"/>
  <c r="O23" i="7" l="1"/>
  <c r="O29" i="7"/>
  <c r="O20" i="7"/>
  <c r="O21" i="7"/>
  <c r="O22" i="7"/>
  <c r="O24" i="7"/>
  <c r="I32" i="7"/>
  <c r="J26" i="7" s="1"/>
  <c r="H32" i="7"/>
  <c r="F78" i="6"/>
  <c r="G73" i="6" s="1"/>
  <c r="O25" i="7"/>
  <c r="C31" i="14" s="1"/>
  <c r="O7" i="7"/>
  <c r="C18" i="14" s="1"/>
  <c r="O11" i="7"/>
  <c r="C22" i="14" s="1"/>
  <c r="O30" i="7"/>
  <c r="C34" i="14" s="1"/>
  <c r="O26" i="7"/>
  <c r="C32" i="14" s="1"/>
  <c r="O8" i="7"/>
  <c r="C19" i="14" s="1"/>
  <c r="O14" i="7"/>
  <c r="C25" i="14" s="1"/>
  <c r="O9" i="7"/>
  <c r="C20" i="14" s="1"/>
  <c r="O10" i="7"/>
  <c r="C21" i="14" s="1"/>
  <c r="O31" i="7"/>
  <c r="C35" i="14" s="1"/>
  <c r="O13" i="7"/>
  <c r="C24" i="14" s="1"/>
  <c r="O19" i="7"/>
  <c r="C30" i="14" s="1"/>
  <c r="O12" i="7"/>
  <c r="C23" i="14" s="1"/>
  <c r="O15" i="7"/>
  <c r="C26" i="14" s="1"/>
  <c r="O16" i="7"/>
  <c r="C27" i="14" s="1"/>
  <c r="O6" i="7"/>
  <c r="C17" i="14" s="1"/>
  <c r="O4" i="7"/>
  <c r="C15" i="14" s="1"/>
  <c r="O17" i="7"/>
  <c r="C28" i="14" s="1"/>
  <c r="O18" i="7"/>
  <c r="C29" i="14" s="1"/>
  <c r="O27" i="7"/>
  <c r="C33" i="14" s="1"/>
  <c r="O5" i="7"/>
  <c r="C16" i="14" s="1"/>
  <c r="J28" i="7" l="1"/>
  <c r="J29" i="7"/>
  <c r="J10" i="7"/>
  <c r="J13" i="7"/>
  <c r="J21" i="7"/>
  <c r="J20" i="7"/>
  <c r="J24" i="7"/>
  <c r="J23" i="7"/>
  <c r="J22" i="7"/>
  <c r="J8" i="7"/>
  <c r="J14" i="7"/>
  <c r="J17" i="7"/>
  <c r="J19" i="7"/>
  <c r="J16" i="7"/>
  <c r="J31" i="7"/>
  <c r="J15" i="7"/>
  <c r="J11" i="7"/>
  <c r="J30" i="7"/>
  <c r="J4" i="7"/>
  <c r="J6" i="7"/>
  <c r="J25" i="7"/>
  <c r="J27" i="7"/>
  <c r="J12" i="7"/>
  <c r="J5" i="7"/>
  <c r="G68" i="6"/>
  <c r="J7" i="7"/>
  <c r="G60" i="6"/>
  <c r="G77" i="6"/>
  <c r="G57" i="6"/>
  <c r="J9" i="7"/>
  <c r="J18" i="7"/>
  <c r="G58" i="6"/>
  <c r="G69" i="6"/>
  <c r="G70" i="6"/>
  <c r="G59" i="6"/>
  <c r="G72" i="6"/>
  <c r="G67" i="6"/>
  <c r="G61" i="6"/>
  <c r="G65" i="6"/>
  <c r="G63" i="6"/>
  <c r="G62" i="6"/>
  <c r="G75" i="6"/>
  <c r="G76" i="6"/>
  <c r="G71" i="6"/>
  <c r="G64" i="6"/>
  <c r="G66" i="6"/>
  <c r="G74" i="6"/>
</calcChain>
</file>

<file path=xl/sharedStrings.xml><?xml version="1.0" encoding="utf-8"?>
<sst xmlns="http://schemas.openxmlformats.org/spreadsheetml/2006/main" count="411" uniqueCount="286">
  <si>
    <t>Risk Overview Module</t>
  </si>
  <si>
    <t>Primary Risk Indicators</t>
  </si>
  <si>
    <t>Ratio of Accounts using Structures</t>
  </si>
  <si>
    <t>Total No. of PEP Issues</t>
  </si>
  <si>
    <t>Total No. of Sensitive Industry Players</t>
  </si>
  <si>
    <t>Total No. of Dcoumentation Deficiencies</t>
  </si>
  <si>
    <t>Customer with Highest Risk Transaction</t>
  </si>
  <si>
    <t>Overall A.M.L Untrained Staff Ratio</t>
  </si>
  <si>
    <t>Second Highest Risked Transaction Customer</t>
  </si>
  <si>
    <t>Overall Compliance Staff to Employee Ratio</t>
  </si>
  <si>
    <t>Third Highest Risked Transaction Customer</t>
  </si>
  <si>
    <t>Ratio of Unusual Transactions by Standard Deviation</t>
  </si>
  <si>
    <t>Ratio of Unusual Transactions by Manual Threshold</t>
  </si>
  <si>
    <t>Jurisdictional Risk Concentrations</t>
  </si>
  <si>
    <t>Client Risk Score</t>
  </si>
  <si>
    <t>Tax Risk Score</t>
  </si>
  <si>
    <t>Risk of FI Group</t>
  </si>
  <si>
    <t>British Virgin Islands</t>
  </si>
  <si>
    <t>Cayman Islands</t>
  </si>
  <si>
    <t>France</t>
  </si>
  <si>
    <t>Germany</t>
  </si>
  <si>
    <t>Hong Kong</t>
  </si>
  <si>
    <t>Indonesia</t>
  </si>
  <si>
    <t>Japan</t>
  </si>
  <si>
    <t>Malaysia</t>
  </si>
  <si>
    <t>Russia</t>
  </si>
  <si>
    <t>Singapore</t>
  </si>
  <si>
    <t>Switzerland</t>
  </si>
  <si>
    <t>Taiwan</t>
  </si>
  <si>
    <t>Thailand</t>
  </si>
  <si>
    <t>United Arab Emirates</t>
  </si>
  <si>
    <t>United Kingdom</t>
  </si>
  <si>
    <t>United States</t>
  </si>
  <si>
    <t>Sensitive Industries Attention</t>
  </si>
  <si>
    <t>Company Risk Analysis Module</t>
  </si>
  <si>
    <t>Risk Concentration</t>
  </si>
  <si>
    <t>HQ</t>
  </si>
  <si>
    <t>Subsidary B</t>
  </si>
  <si>
    <t>Subsidary C</t>
  </si>
  <si>
    <t>Subsidary D</t>
  </si>
  <si>
    <t>Nationality</t>
  </si>
  <si>
    <t>Domicile</t>
  </si>
  <si>
    <t>Primary Operations of CMI</t>
  </si>
  <si>
    <t>Discretionary Management of Segregated Client Accounts</t>
  </si>
  <si>
    <t>Advisory Management</t>
  </si>
  <si>
    <t>Advisory to other Management Firms/Funds</t>
  </si>
  <si>
    <t>Secondary Operations of CMI</t>
  </si>
  <si>
    <t>Total No. of Clients</t>
  </si>
  <si>
    <t>No. of Clients</t>
  </si>
  <si>
    <t>Precentage of Clients held by Operator</t>
  </si>
  <si>
    <t>Total A.U.M. held</t>
  </si>
  <si>
    <t>A.U.M. held by Operator</t>
  </si>
  <si>
    <t>Weighted A.U.M. holding by Operator</t>
  </si>
  <si>
    <t>Operations</t>
  </si>
  <si>
    <t>Primary Booking Centre of A.U.M.</t>
  </si>
  <si>
    <t>Additional Booking Centreof A.U.M.</t>
  </si>
  <si>
    <t>Management of Investment Funds</t>
  </si>
  <si>
    <t>Additional Booking Centre of A.U.M.</t>
  </si>
  <si>
    <t>Total Full time employees</t>
  </si>
  <si>
    <t>Full-time Employees</t>
  </si>
  <si>
    <t>Total AML Trained Staff</t>
  </si>
  <si>
    <t>AML Trained Staff</t>
  </si>
  <si>
    <t>Total Untrained Percentage</t>
  </si>
  <si>
    <t>Untrained risk percentage</t>
  </si>
  <si>
    <t>Total Complaince Staff</t>
  </si>
  <si>
    <t>Full-time Compliance Staff</t>
  </si>
  <si>
    <t>Compliance staff Ratio</t>
  </si>
  <si>
    <t>Audit Checks needed</t>
  </si>
  <si>
    <t>AML Audit Points</t>
  </si>
  <si>
    <t>No</t>
  </si>
  <si>
    <t>Yes</t>
  </si>
  <si>
    <t>Document Deficiencies Requiring Checks</t>
  </si>
  <si>
    <t>Documentation Deficiencies in Administration</t>
  </si>
  <si>
    <t>Introducer</t>
  </si>
  <si>
    <t>Mr X</t>
  </si>
  <si>
    <t>Residency of Introducer</t>
  </si>
  <si>
    <t>No. of Introducers with Sensitive Industries</t>
  </si>
  <si>
    <t>Sensitive Industrry of the Introducer</t>
  </si>
  <si>
    <t>Art and antique dealers</t>
  </si>
  <si>
    <t>Beauty salons</t>
  </si>
  <si>
    <t>Secondary Sensitive Industry of the Introducer</t>
  </si>
  <si>
    <t>Charities (especially, unregulated charities and other unregulated “not for profit” organisations).</t>
  </si>
  <si>
    <t>Amusement Arcades</t>
  </si>
  <si>
    <t>Liquor stores</t>
  </si>
  <si>
    <t>Total Introduced A.U.M.</t>
  </si>
  <si>
    <t>Total A.U.M. held Introduced</t>
  </si>
  <si>
    <t>Ratio of Introduced A.U.M.</t>
  </si>
  <si>
    <t>Weighted to Overall A.U.M Introduced</t>
  </si>
  <si>
    <t>Most frequently used Operator (HQ/Branch/Subsidiary)</t>
  </si>
  <si>
    <t>Jurisdicictional Risks</t>
  </si>
  <si>
    <t>Juridictional Frequency</t>
  </si>
  <si>
    <t>Nationality of Branch/H.Q.</t>
  </si>
  <si>
    <t>Domicile of Branch/H.Q.</t>
  </si>
  <si>
    <t>Jurisdictions of Primary Booking Centres</t>
  </si>
  <si>
    <t>Jurisdictions of Other Booking Centres</t>
  </si>
  <si>
    <t>Sensitive Industry Attention</t>
  </si>
  <si>
    <t>Risk from Prefered Contact by Introducers</t>
  </si>
  <si>
    <t>Customer Risk Analysis Module</t>
  </si>
  <si>
    <t>Primary Focus of RBA</t>
  </si>
  <si>
    <t>Customer</t>
  </si>
  <si>
    <t>A</t>
  </si>
  <si>
    <t>B</t>
  </si>
  <si>
    <t>C</t>
  </si>
  <si>
    <t>Total Number of Clients</t>
  </si>
  <si>
    <t>Total Number of High Risk Clients</t>
  </si>
  <si>
    <t>Residency of Customer</t>
  </si>
  <si>
    <t>Ratio of High Risk Clients</t>
  </si>
  <si>
    <t>Type of Management</t>
  </si>
  <si>
    <t>CMI Risk Classification of Customer</t>
  </si>
  <si>
    <t>Standard</t>
  </si>
  <si>
    <t>High Risk</t>
  </si>
  <si>
    <t>Total Number of Non-transparent Products</t>
  </si>
  <si>
    <t>No. of Transactions in Non-Transparent Product Purchases</t>
  </si>
  <si>
    <t>Total Client Wealth</t>
  </si>
  <si>
    <t>Client Net Wealth</t>
  </si>
  <si>
    <t>Total A.U.M.</t>
  </si>
  <si>
    <t>Assets Under Management</t>
  </si>
  <si>
    <t>Client's Contribution to A.U.M.</t>
  </si>
  <si>
    <t>Legal Structure</t>
  </si>
  <si>
    <t>Direct Accounts</t>
  </si>
  <si>
    <t>Legal Identity of Customer</t>
  </si>
  <si>
    <t>Beneficial Owner</t>
  </si>
  <si>
    <t>Unlimited Company</t>
  </si>
  <si>
    <t>Trust</t>
  </si>
  <si>
    <t>Accounts using Stuctures</t>
  </si>
  <si>
    <t>Legal Structure Layer 1</t>
  </si>
  <si>
    <t>Legal Structure Layer 2</t>
  </si>
  <si>
    <t>No. of Unlimited Cos.</t>
  </si>
  <si>
    <t>Legal Structure Layer 3</t>
  </si>
  <si>
    <t>No. of Unlimited Partnerships</t>
  </si>
  <si>
    <t>Legal Structure Layer 4 &amp; Above</t>
  </si>
  <si>
    <t>No. of Limited Partnerships</t>
  </si>
  <si>
    <t>Authorised Signatory 1</t>
  </si>
  <si>
    <t>No. of Trusts</t>
  </si>
  <si>
    <t>Authorised Signatory 2</t>
  </si>
  <si>
    <t>No. of Nominee Structures</t>
  </si>
  <si>
    <t>Authorised Signatory 3</t>
  </si>
  <si>
    <t>No. of Joint-Account Holders</t>
  </si>
  <si>
    <t>Authorised Signatory 4</t>
  </si>
  <si>
    <t>Relationships with Authorised Signatories</t>
  </si>
  <si>
    <t>Authorised Signatory 5</t>
  </si>
  <si>
    <t>Relationships with Professional Signatories</t>
  </si>
  <si>
    <t>Exclusively Professional Signatories</t>
  </si>
  <si>
    <t>Ratio of Professional Signatories</t>
  </si>
  <si>
    <t>No. of Customer Documentation Deficiencies</t>
  </si>
  <si>
    <t xml:space="preserve">Customer Documentation Deficiencies </t>
  </si>
  <si>
    <t>No. of Structural Deficiencies</t>
  </si>
  <si>
    <t xml:space="preserve">Layer 1 and above Documentation Deficiencies </t>
  </si>
  <si>
    <t>No. of Clients with Foreign PEP</t>
  </si>
  <si>
    <t>Foreign PEP</t>
  </si>
  <si>
    <t>No. of Clients with Deomestic PEP</t>
  </si>
  <si>
    <t>Domestic PEP</t>
  </si>
  <si>
    <t>No. of Clients with International Organisation PEP</t>
  </si>
  <si>
    <t>International Organisation PEP</t>
  </si>
  <si>
    <t>Total PEP Count</t>
  </si>
  <si>
    <t>Adverse News Count</t>
  </si>
  <si>
    <t>Adverse News</t>
  </si>
  <si>
    <t>x</t>
  </si>
  <si>
    <t>y</t>
  </si>
  <si>
    <t>z</t>
  </si>
  <si>
    <t>Residence</t>
  </si>
  <si>
    <t>Tax Residence</t>
  </si>
  <si>
    <t>Domicle of Primary Operations</t>
  </si>
  <si>
    <t>Domicle of Secondary Operations</t>
  </si>
  <si>
    <t>No. of B.O. Documentation Deficiencies</t>
  </si>
  <si>
    <t xml:space="preserve">Documentation Deficiency </t>
  </si>
  <si>
    <t>No. of B.O.s with Foreign PEP</t>
  </si>
  <si>
    <t>No. of B.O.s with Deomestic PEP</t>
  </si>
  <si>
    <t>No. of B.O.s with International Organisation PEP</t>
  </si>
  <si>
    <t>Total B.O. Wealth</t>
  </si>
  <si>
    <t>Primary Sensetive Industry</t>
  </si>
  <si>
    <t>Check cashing</t>
  </si>
  <si>
    <t>Retail stores</t>
  </si>
  <si>
    <t>Secondary Sensetive Industry</t>
  </si>
  <si>
    <t>Biotechnology</t>
  </si>
  <si>
    <t>Dealers in high value or precious goods (e.g metals, stones, or jewels)</t>
  </si>
  <si>
    <t>Third Sensetive Industry</t>
  </si>
  <si>
    <t>Jurisdictions Requiring Attention in Relation to:</t>
  </si>
  <si>
    <t>Jurisdiction Frequency</t>
  </si>
  <si>
    <t>Risk Multipler</t>
  </si>
  <si>
    <t>Risk Score</t>
  </si>
  <si>
    <t>Client Risk Concentration</t>
  </si>
  <si>
    <t>1) Nat. of Customers</t>
  </si>
  <si>
    <t>2) Domicile of Operations</t>
  </si>
  <si>
    <t>3) Residency of Authorised Signatories</t>
  </si>
  <si>
    <t>4) Nat. of B.O.(s)</t>
  </si>
  <si>
    <t>5) Domicile of B.O.(s)</t>
  </si>
  <si>
    <t>6) B.O. Tax Residence</t>
  </si>
  <si>
    <t>7) Domicile of Primary Ops</t>
  </si>
  <si>
    <t>8) Domicile of Secondary Ops</t>
  </si>
  <si>
    <t>Armament manufacturers, dealers and intermediaries.</t>
  </si>
  <si>
    <t>Auction houses</t>
  </si>
  <si>
    <t>Brokers</t>
  </si>
  <si>
    <t>Card clubs</t>
  </si>
  <si>
    <t>Casinos (betting and other gambling related activities)</t>
  </si>
  <si>
    <t>Chemical agents &amp; Fertilizers</t>
  </si>
  <si>
    <t>Cigarette distributors</t>
  </si>
  <si>
    <t>Construction</t>
  </si>
  <si>
    <t>Convenience stores that sale traveler’s checks and/or money orders</t>
  </si>
  <si>
    <t>Corporate Service Providers ( Auditors and Corporate Secreterial Serices)</t>
  </si>
  <si>
    <t>Dealers in endangered species</t>
  </si>
  <si>
    <t>Energy (including Oil &amp; Gas)</t>
  </si>
  <si>
    <t>Estate agents and Real estate brokers</t>
  </si>
  <si>
    <t>Financial Service Providers</t>
  </si>
  <si>
    <t>Hotels &amp; Motels</t>
  </si>
  <si>
    <t>Total Occurances</t>
  </si>
  <si>
    <t>Legal Services</t>
  </si>
  <si>
    <t>Money lenders</t>
  </si>
  <si>
    <t>Type of Management Works Requring Attention</t>
  </si>
  <si>
    <t>Money services businesses (remittance houses, exchange houses, casas de cambio, bureaux de change, money transfer agents and bank note traders)</t>
  </si>
  <si>
    <t>Movie theaters</t>
  </si>
  <si>
    <t>Nuclear/radioactive materials</t>
  </si>
  <si>
    <t>Parking garages</t>
  </si>
  <si>
    <t>PawnBrokers</t>
  </si>
  <si>
    <t>Ponzi schemes</t>
  </si>
  <si>
    <t>Pornography, Prostitution &amp; Escort agencies</t>
  </si>
  <si>
    <t>Privately owned ATMs</t>
  </si>
  <si>
    <t>Raw materials (eg. Extraction, Mining, etc..)</t>
  </si>
  <si>
    <t>Restaurants</t>
  </si>
  <si>
    <t>Serviced apartment house operator</t>
  </si>
  <si>
    <t>Taxi firms,</t>
  </si>
  <si>
    <t>Used car or motorcycle dealers that finance their own sales</t>
  </si>
  <si>
    <t>Used boat dealers that finance their own sales</t>
  </si>
  <si>
    <t>Vending machine operators</t>
  </si>
  <si>
    <t>Others (businesses that may be cash intensive or generate substantial cash for certain transactions)</t>
  </si>
  <si>
    <t>Juridictional Risk Assestment Module</t>
  </si>
  <si>
    <t>Countries</t>
  </si>
  <si>
    <t>FATF Call for Countermeasures</t>
  </si>
  <si>
    <t>Strategic AML/CFT Deficiencies</t>
  </si>
  <si>
    <t>KnowYourCountry Score</t>
  </si>
  <si>
    <t>Know Your Country Risk Score</t>
  </si>
  <si>
    <t>Know Your Country Risk Rating</t>
  </si>
  <si>
    <t xml:space="preserve"> Combined FATF &amp; Strategic AML/CFT Deficiencies Risk Rating</t>
  </si>
  <si>
    <t>Total Risk Score</t>
  </si>
  <si>
    <t>Risk Distribution</t>
  </si>
  <si>
    <t>Maximum Intcome Tax</t>
  </si>
  <si>
    <t>B.O.s Tax Residence</t>
  </si>
  <si>
    <t>Tax Risk Distribution</t>
  </si>
  <si>
    <t>Tax Risk Concentration</t>
  </si>
  <si>
    <t>Transaction Risk Assestment Module</t>
  </si>
  <si>
    <t>Transaction Risk</t>
  </si>
  <si>
    <t>Transaction Date</t>
  </si>
  <si>
    <t>Client</t>
  </si>
  <si>
    <t>Country of Origin</t>
  </si>
  <si>
    <t>Destination of Transaction</t>
  </si>
  <si>
    <t>Amount (SGD)</t>
  </si>
  <si>
    <t>Standard Deviation</t>
  </si>
  <si>
    <t>Threshold Deviation</t>
  </si>
  <si>
    <t>Combined Country Risk</t>
  </si>
  <si>
    <t>Overall Rating (D)</t>
  </si>
  <si>
    <t>Overall Rating (T)</t>
  </si>
  <si>
    <t>Risk Count (D)</t>
  </si>
  <si>
    <t>Risk Count (T)</t>
  </si>
  <si>
    <t>Barrier</t>
  </si>
  <si>
    <t>+/- 1 Standard Deviation</t>
  </si>
  <si>
    <t>Threshold</t>
  </si>
  <si>
    <t>Minimum</t>
  </si>
  <si>
    <t>Median</t>
  </si>
  <si>
    <t>Maximum</t>
  </si>
  <si>
    <t>Ratio of Transactions Requiring Attention</t>
  </si>
  <si>
    <t>Sensitive Industries List</t>
  </si>
  <si>
    <t>Restaurants &amp; Pubs</t>
  </si>
  <si>
    <t>Legal Identity (legalid)</t>
  </si>
  <si>
    <t>Unlimited Partnership</t>
  </si>
  <si>
    <t>Limited Partnership</t>
  </si>
  <si>
    <t>Limited Liability Partnership</t>
  </si>
  <si>
    <t>Public Limited Company</t>
  </si>
  <si>
    <t>Nominee</t>
  </si>
  <si>
    <t>Joint-Account Holders</t>
  </si>
  <si>
    <t>Yes/No Response</t>
  </si>
  <si>
    <t>Risk Rating</t>
  </si>
  <si>
    <t>High</t>
  </si>
  <si>
    <t>Medium</t>
  </si>
  <si>
    <t>Low</t>
  </si>
  <si>
    <t>None</t>
  </si>
  <si>
    <t>Legal Structure (legallayer)</t>
  </si>
  <si>
    <t>The Entire Structure</t>
  </si>
  <si>
    <t>Management Types (mgtclass)</t>
  </si>
  <si>
    <t>Customer Risk (Custrisk)</t>
  </si>
  <si>
    <t>Frances</t>
  </si>
  <si>
    <t>asdjhasd</t>
  </si>
  <si>
    <t>hhjjhj</t>
  </si>
  <si>
    <t>Ultimate Beneficial Owner (B.O.)</t>
  </si>
  <si>
    <t>Collective BO Wealth</t>
  </si>
  <si>
    <t>Private Limited Company</t>
  </si>
  <si>
    <t>No. of Companies Limited by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</si>
</sst>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SGD]\ #,##0"/>
    <numFmt numFmtId="165" formatCode="[$SGD]\ #,##0.00"/>
    <numFmt numFmtId="166" formatCode="_([$SGD]\ * #,##0.00_);_([$SGD]\ * \(#,##0.00\);_([$SGD]\ * &quot;-&quot;??_);_(@_)"/>
    <numFmt numFmtId="167" formatCode="_([$SGD]\ * #,##0_);_([$SGD]\ * \(#,##0\);_([$SGD]\ * &quot;-&quot;_);_(@_)"/>
    <numFmt numFmtId="168" formatCode="0.0%"/>
  </numFmts>
  <fonts count="16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u/>
      <sz val="11"/>
      <color theme="10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rgb="FFFF0000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sz val="12"/>
      <color theme="1"/>
      <name val="Century Gothic"/>
      <family val="2"/>
      <scheme val="major"/>
    </font>
    <font>
      <b/>
      <sz val="12"/>
      <color theme="1"/>
      <name val="Century Gothic"/>
      <family val="2"/>
      <scheme val="major"/>
    </font>
    <font>
      <sz val="11"/>
      <color rgb="FF212121"/>
      <name val="Segoe UI"/>
      <family val="2"/>
    </font>
    <font>
      <b/>
      <sz val="13"/>
      <name val="Century Gothic"/>
      <family val="2"/>
      <scheme val="minor"/>
    </font>
    <font>
      <u/>
      <sz val="11"/>
      <name val="Century Gothic"/>
      <family val="2"/>
      <scheme val="minor"/>
    </font>
    <font>
      <sz val="11"/>
      <name val="Century Gothic"/>
      <family val="2"/>
      <scheme val="minor"/>
    </font>
    <font>
      <sz val="11"/>
      <color rgb="FFFA7D00"/>
      <name val="Century Gothic"/>
      <family val="2"/>
      <scheme val="minor"/>
    </font>
    <font>
      <b/>
      <sz val="10"/>
      <color rgb="FF323232"/>
      <name val="Arial"/>
      <family val="2"/>
    </font>
    <font>
      <b/>
      <sz val="15"/>
      <color theme="3"/>
      <name val="Century Gothic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5" applyNumberFormat="0" applyFill="0" applyAlignment="0" applyProtection="0"/>
    <xf numFmtId="0" fontId="1" fillId="0" borderId="8" applyNumberFormat="0" applyFill="0" applyAlignment="0" applyProtection="0"/>
    <xf numFmtId="0" fontId="13" fillId="0" borderId="12" applyNumberFormat="0" applyFill="0" applyAlignment="0" applyProtection="0"/>
    <xf numFmtId="0" fontId="3" fillId="17" borderId="13" applyNumberFormat="0" applyFont="0" applyAlignment="0" applyProtection="0"/>
    <xf numFmtId="0" fontId="15" fillId="0" borderId="1" applyNumberFormat="0" applyFill="0" applyAlignment="0" applyProtection="0"/>
  </cellStyleXfs>
  <cellXfs count="238">
    <xf numFmtId="0" fontId="0" fillId="0" borderId="0" xfId="0"/>
    <xf numFmtId="0" fontId="0" fillId="0" borderId="0" xfId="0" applyAlignment="1">
      <alignment wrapText="1"/>
    </xf>
    <xf numFmtId="0" fontId="0" fillId="5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165" fontId="0" fillId="3" borderId="2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2" borderId="2" xfId="0" applyFill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0" xfId="0" applyFill="1" applyBorder="1" applyAlignment="1">
      <alignment horizontal="left"/>
    </xf>
    <xf numFmtId="0" fontId="6" fillId="2" borderId="5" xfId="6" applyFill="1" applyAlignment="1">
      <alignment horizontal="center"/>
    </xf>
    <xf numFmtId="165" fontId="0" fillId="2" borderId="2" xfId="0" quotePrefix="1" applyNumberFormat="1" applyFill="1" applyBorder="1" applyAlignment="1"/>
    <xf numFmtId="0" fontId="7" fillId="0" borderId="4" xfId="0" applyFont="1" applyFill="1" applyBorder="1"/>
    <xf numFmtId="0" fontId="7" fillId="0" borderId="0" xfId="0" applyFont="1" applyFill="1" applyBorder="1"/>
    <xf numFmtId="10" fontId="7" fillId="0" borderId="4" xfId="0" applyNumberFormat="1" applyFont="1" applyFill="1" applyBorder="1"/>
    <xf numFmtId="10" fontId="7" fillId="0" borderId="0" xfId="0" applyNumberFormat="1" applyFont="1" applyFill="1" applyBorder="1"/>
    <xf numFmtId="0" fontId="7" fillId="4" borderId="4" xfId="0" applyFont="1" applyFill="1" applyBorder="1"/>
    <xf numFmtId="0" fontId="7" fillId="4" borderId="0" xfId="0" applyFont="1" applyFill="1" applyBorder="1"/>
    <xf numFmtId="0" fontId="8" fillId="0" borderId="0" xfId="0" applyFont="1" applyFill="1" applyBorder="1"/>
    <xf numFmtId="166" fontId="7" fillId="0" borderId="0" xfId="4" applyNumberFormat="1" applyFont="1" applyFill="1" applyBorder="1"/>
    <xf numFmtId="166" fontId="7" fillId="0" borderId="4" xfId="4" applyNumberFormat="1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2" fontId="0" fillId="3" borderId="2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7" fillId="6" borderId="2" xfId="0" applyFont="1" applyFill="1" applyBorder="1" applyAlignment="1">
      <alignment wrapText="1"/>
    </xf>
    <xf numFmtId="0" fontId="7" fillId="6" borderId="2" xfId="0" applyFont="1" applyFill="1" applyBorder="1"/>
    <xf numFmtId="0" fontId="7" fillId="0" borderId="2" xfId="0" applyFont="1" applyFill="1" applyBorder="1"/>
    <xf numFmtId="166" fontId="7" fillId="0" borderId="2" xfId="4" applyNumberFormat="1" applyFont="1" applyFill="1" applyBorder="1"/>
    <xf numFmtId="10" fontId="7" fillId="0" borderId="2" xfId="0" applyNumberFormat="1" applyFont="1" applyFill="1" applyBorder="1"/>
    <xf numFmtId="0" fontId="7" fillId="7" borderId="2" xfId="0" applyFont="1" applyFill="1" applyBorder="1"/>
    <xf numFmtId="166" fontId="7" fillId="10" borderId="2" xfId="4" applyNumberFormat="1" applyFont="1" applyFill="1" applyBorder="1"/>
    <xf numFmtId="0" fontId="7" fillId="8" borderId="2" xfId="0" applyFont="1" applyFill="1" applyBorder="1"/>
    <xf numFmtId="0" fontId="8" fillId="0" borderId="2" xfId="0" applyFont="1" applyFill="1" applyBorder="1"/>
    <xf numFmtId="166" fontId="1" fillId="0" borderId="8" xfId="7" applyNumberFormat="1" applyFill="1"/>
    <xf numFmtId="0" fontId="7" fillId="0" borderId="9" xfId="0" applyFont="1" applyFill="1" applyBorder="1"/>
    <xf numFmtId="0" fontId="7" fillId="6" borderId="10" xfId="0" applyFont="1" applyFill="1" applyBorder="1"/>
    <xf numFmtId="0" fontId="7" fillId="6" borderId="2" xfId="0" applyFont="1" applyFill="1" applyBorder="1" applyAlignment="1">
      <alignment vertical="top" wrapText="1"/>
    </xf>
    <xf numFmtId="0" fontId="6" fillId="4" borderId="2" xfId="6" applyFill="1" applyBorder="1" applyAlignment="1">
      <alignment vertical="center"/>
    </xf>
    <xf numFmtId="0" fontId="6" fillId="4" borderId="2" xfId="6" applyFill="1" applyBorder="1" applyAlignment="1">
      <alignment vertical="center" wrapText="1"/>
    </xf>
    <xf numFmtId="0" fontId="6" fillId="11" borderId="5" xfId="6" applyFill="1"/>
    <xf numFmtId="0" fontId="6" fillId="11" borderId="0" xfId="6" applyFill="1" applyBorder="1"/>
    <xf numFmtId="0" fontId="0" fillId="12" borderId="2" xfId="0" applyFill="1" applyBorder="1" applyAlignment="1">
      <alignment horizontal="center"/>
    </xf>
    <xf numFmtId="43" fontId="0" fillId="3" borderId="2" xfId="0" applyNumberFormat="1" applyFill="1" applyBorder="1" applyAlignment="1">
      <alignment horizontal="center"/>
    </xf>
    <xf numFmtId="4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14" borderId="2" xfId="0" applyFill="1" applyBorder="1" applyAlignment="1">
      <alignment horizontal="center"/>
    </xf>
    <xf numFmtId="165" fontId="0" fillId="14" borderId="2" xfId="0" applyNumberFormat="1" applyFill="1" applyBorder="1" applyAlignment="1">
      <alignment horizontal="center"/>
    </xf>
    <xf numFmtId="3" fontId="0" fillId="14" borderId="2" xfId="0" applyNumberFormat="1" applyFill="1" applyBorder="1" applyAlignment="1">
      <alignment horizontal="center"/>
    </xf>
    <xf numFmtId="164" fontId="0" fillId="14" borderId="2" xfId="0" applyNumberFormat="1" applyFill="1" applyBorder="1" applyAlignment="1">
      <alignment horizontal="center"/>
    </xf>
    <xf numFmtId="0" fontId="0" fillId="14" borderId="2" xfId="0" applyFill="1" applyBorder="1" applyAlignment="1">
      <alignment horizontal="center" wrapText="1"/>
    </xf>
    <xf numFmtId="9" fontId="9" fillId="14" borderId="2" xfId="2" applyFont="1" applyFill="1" applyBorder="1"/>
    <xf numFmtId="0" fontId="7" fillId="15" borderId="4" xfId="0" applyFont="1" applyFill="1" applyBorder="1"/>
    <xf numFmtId="0" fontId="7" fillId="6" borderId="11" xfId="0" applyFont="1" applyFill="1" applyBorder="1" applyAlignment="1">
      <alignment wrapText="1"/>
    </xf>
    <xf numFmtId="0" fontId="7" fillId="6" borderId="11" xfId="0" applyFont="1" applyFill="1" applyBorder="1"/>
    <xf numFmtId="0" fontId="7" fillId="6" borderId="11" xfId="0" applyFont="1" applyFill="1" applyBorder="1" applyAlignment="1">
      <alignment vertical="top" wrapText="1"/>
    </xf>
    <xf numFmtId="0" fontId="10" fillId="11" borderId="2" xfId="6" applyFont="1" applyFill="1" applyBorder="1" applyAlignment="1">
      <alignment vertical="center"/>
    </xf>
    <xf numFmtId="0" fontId="10" fillId="11" borderId="2" xfId="6" applyFont="1" applyFill="1" applyBorder="1"/>
    <xf numFmtId="0" fontId="11" fillId="0" borderId="2" xfId="1" applyFont="1" applyBorder="1"/>
    <xf numFmtId="0" fontId="11" fillId="0" borderId="2" xfId="1" applyFont="1" applyBorder="1" applyAlignment="1">
      <alignment vertical="center"/>
    </xf>
    <xf numFmtId="0" fontId="12" fillId="6" borderId="2" xfId="0" applyFont="1" applyFill="1" applyBorder="1"/>
    <xf numFmtId="0" fontId="11" fillId="7" borderId="2" xfId="1" applyFont="1" applyFill="1" applyBorder="1"/>
    <xf numFmtId="0" fontId="12" fillId="7" borderId="2" xfId="0" applyFont="1" applyFill="1" applyBorder="1"/>
    <xf numFmtId="9" fontId="11" fillId="7" borderId="2" xfId="1" applyNumberFormat="1" applyFont="1" applyFill="1" applyBorder="1"/>
    <xf numFmtId="0" fontId="12" fillId="0" borderId="2" xfId="0" applyFont="1" applyBorder="1"/>
    <xf numFmtId="1" fontId="0" fillId="7" borderId="2" xfId="0" applyNumberForma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2" xfId="0" applyFill="1" applyBorder="1" applyAlignment="1">
      <alignment horizontal="left"/>
    </xf>
    <xf numFmtId="0" fontId="11" fillId="7" borderId="2" xfId="1" applyFont="1" applyFill="1" applyBorder="1" applyAlignment="1">
      <alignment horizontal="center"/>
    </xf>
    <xf numFmtId="0" fontId="0" fillId="6" borderId="2" xfId="0" applyFill="1" applyBorder="1" applyAlignment="1">
      <alignment horizontal="left"/>
    </xf>
    <xf numFmtId="9" fontId="7" fillId="0" borderId="2" xfId="2" applyFont="1" applyFill="1" applyBorder="1"/>
    <xf numFmtId="0" fontId="7" fillId="4" borderId="9" xfId="0" applyFont="1" applyFill="1" applyBorder="1"/>
    <xf numFmtId="0" fontId="6" fillId="16" borderId="2" xfId="6" applyFill="1" applyBorder="1"/>
    <xf numFmtId="0" fontId="6" fillId="4" borderId="2" xfId="6" applyFill="1" applyBorder="1"/>
    <xf numFmtId="0" fontId="7" fillId="0" borderId="10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NumberFormat="1" applyBorder="1" applyAlignment="1">
      <alignment wrapText="1"/>
    </xf>
    <xf numFmtId="9" fontId="0" fillId="0" borderId="2" xfId="2" applyFont="1" applyBorder="1" applyAlignment="1">
      <alignment wrapText="1"/>
    </xf>
    <xf numFmtId="9" fontId="0" fillId="0" borderId="2" xfId="0" applyNumberFormat="1" applyBorder="1" applyAlignment="1">
      <alignment wrapText="1"/>
    </xf>
    <xf numFmtId="10" fontId="0" fillId="0" borderId="2" xfId="0" applyNumberFormat="1" applyBorder="1" applyAlignment="1">
      <alignment wrapText="1"/>
    </xf>
    <xf numFmtId="168" fontId="0" fillId="0" borderId="2" xfId="0" applyNumberFormat="1" applyBorder="1" applyAlignment="1">
      <alignment wrapText="1"/>
    </xf>
    <xf numFmtId="0" fontId="0" fillId="5" borderId="2" xfId="0" applyFill="1" applyBorder="1" applyAlignment="1">
      <alignment wrapText="1"/>
    </xf>
    <xf numFmtId="0" fontId="0" fillId="0" borderId="2" xfId="0" applyFill="1" applyBorder="1" applyAlignment="1">
      <alignment horizontal="center"/>
    </xf>
    <xf numFmtId="0" fontId="8" fillId="0" borderId="14" xfId="0" applyFont="1" applyFill="1" applyBorder="1"/>
    <xf numFmtId="0" fontId="7" fillId="0" borderId="2" xfId="0" applyFont="1" applyBorder="1" applyAlignment="1">
      <alignment vertical="center"/>
    </xf>
    <xf numFmtId="0" fontId="7" fillId="0" borderId="2" xfId="2" applyNumberFormat="1" applyFont="1" applyFill="1" applyBorder="1"/>
    <xf numFmtId="0" fontId="7" fillId="2" borderId="2" xfId="0" applyFont="1" applyFill="1" applyBorder="1"/>
    <xf numFmtId="0" fontId="3" fillId="19" borderId="2" xfId="8" applyFont="1" applyFill="1" applyBorder="1"/>
    <xf numFmtId="9" fontId="3" fillId="19" borderId="2" xfId="8" applyNumberFormat="1" applyFont="1" applyFill="1" applyBorder="1"/>
    <xf numFmtId="0" fontId="7" fillId="4" borderId="2" xfId="0" applyFont="1" applyFill="1" applyBorder="1"/>
    <xf numFmtId="0" fontId="6" fillId="4" borderId="14" xfId="6" applyFill="1" applyBorder="1" applyAlignment="1">
      <alignment vertical="center" wrapText="1"/>
    </xf>
    <xf numFmtId="1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43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4" fontId="0" fillId="13" borderId="2" xfId="0" applyNumberFormat="1" applyFill="1" applyBorder="1" applyAlignment="1">
      <alignment horizontal="center"/>
    </xf>
    <xf numFmtId="164" fontId="0" fillId="13" borderId="2" xfId="0" applyNumberFormat="1" applyFill="1" applyBorder="1" applyAlignment="1">
      <alignment horizontal="center"/>
    </xf>
    <xf numFmtId="2" fontId="0" fillId="13" borderId="2" xfId="0" applyNumberFormat="1" applyFill="1" applyBorder="1" applyAlignment="1">
      <alignment horizontal="center"/>
    </xf>
    <xf numFmtId="10" fontId="0" fillId="13" borderId="2" xfId="0" applyNumberFormat="1" applyFill="1" applyBorder="1" applyAlignment="1">
      <alignment horizontal="center"/>
    </xf>
    <xf numFmtId="43" fontId="0" fillId="13" borderId="2" xfId="0" applyNumberFormat="1" applyFill="1" applyBorder="1" applyAlignment="1">
      <alignment horizontal="center"/>
    </xf>
    <xf numFmtId="1" fontId="0" fillId="13" borderId="2" xfId="0" applyNumberFormat="1" applyFill="1" applyBorder="1" applyAlignment="1">
      <alignment horizontal="center"/>
    </xf>
    <xf numFmtId="0" fontId="6" fillId="2" borderId="2" xfId="6" applyFill="1" applyBorder="1" applyAlignment="1">
      <alignment vertical="center"/>
    </xf>
    <xf numFmtId="0" fontId="6" fillId="2" borderId="2" xfId="6" applyFill="1" applyBorder="1" applyAlignment="1">
      <alignment horizontal="center"/>
    </xf>
    <xf numFmtId="0" fontId="7" fillId="6" borderId="2" xfId="0" applyFont="1" applyFill="1" applyBorder="1" applyAlignment="1">
      <alignment vertical="center"/>
    </xf>
    <xf numFmtId="0" fontId="0" fillId="6" borderId="2" xfId="0" applyFill="1" applyBorder="1" applyAlignment="1">
      <alignment wrapText="1"/>
    </xf>
    <xf numFmtId="0" fontId="6" fillId="2" borderId="2" xfId="6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0" fillId="0" borderId="2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167" fontId="0" fillId="0" borderId="2" xfId="4" applyNumberFormat="1" applyFont="1" applyFill="1" applyBorder="1" applyAlignment="1">
      <alignment wrapText="1"/>
    </xf>
    <xf numFmtId="167" fontId="0" fillId="0" borderId="0" xfId="4" applyNumberFormat="1" applyFont="1" applyFill="1" applyBorder="1" applyAlignment="1">
      <alignment horizontal="left" wrapText="1"/>
    </xf>
    <xf numFmtId="167" fontId="0" fillId="0" borderId="0" xfId="4" applyNumberFormat="1" applyFont="1" applyFill="1" applyBorder="1" applyAlignment="1">
      <alignment wrapText="1"/>
    </xf>
    <xf numFmtId="167" fontId="0" fillId="0" borderId="0" xfId="4" applyNumberFormat="1" applyFont="1" applyFill="1" applyAlignment="1">
      <alignment wrapText="1"/>
    </xf>
    <xf numFmtId="0" fontId="7" fillId="0" borderId="2" xfId="3" applyFont="1" applyFill="1" applyBorder="1"/>
    <xf numFmtId="0" fontId="7" fillId="0" borderId="4" xfId="3" applyFont="1" applyFill="1" applyBorder="1"/>
    <xf numFmtId="0" fontId="0" fillId="2" borderId="0" xfId="0" applyFont="1" applyFill="1"/>
    <xf numFmtId="0" fontId="0" fillId="0" borderId="0" xfId="0" applyFont="1" applyAlignment="1">
      <alignment vertical="center"/>
    </xf>
    <xf numFmtId="0" fontId="0" fillId="0" borderId="0" xfId="0" applyFont="1"/>
    <xf numFmtId="0" fontId="0" fillId="4" borderId="0" xfId="0" applyFont="1" applyFill="1" applyAlignment="1">
      <alignment vertical="center"/>
    </xf>
    <xf numFmtId="0" fontId="0" fillId="4" borderId="0" xfId="0" applyFont="1" applyFill="1"/>
    <xf numFmtId="0" fontId="0" fillId="0" borderId="0" xfId="0" applyFont="1" applyFill="1"/>
    <xf numFmtId="0" fontId="0" fillId="18" borderId="0" xfId="0" applyFont="1" applyFill="1"/>
    <xf numFmtId="0" fontId="0" fillId="4" borderId="4" xfId="0" applyFont="1" applyFill="1" applyBorder="1"/>
    <xf numFmtId="0" fontId="0" fillId="0" borderId="4" xfId="0" applyFont="1" applyFill="1" applyBorder="1"/>
    <xf numFmtId="0" fontId="0" fillId="4" borderId="0" xfId="0" applyFont="1" applyFill="1" applyBorder="1"/>
    <xf numFmtId="0" fontId="0" fillId="0" borderId="0" xfId="0" applyFont="1" applyFill="1" applyBorder="1"/>
    <xf numFmtId="0" fontId="0" fillId="0" borderId="0" xfId="0" applyBorder="1" applyAlignment="1">
      <alignment vertical="top" wrapText="1"/>
    </xf>
    <xf numFmtId="0" fontId="0" fillId="0" borderId="2" xfId="2" applyNumberFormat="1" applyFont="1" applyBorder="1" applyAlignment="1">
      <alignment wrapText="1"/>
    </xf>
    <xf numFmtId="9" fontId="0" fillId="13" borderId="2" xfId="2" applyFont="1" applyFill="1" applyBorder="1" applyAlignment="1">
      <alignment wrapText="1"/>
    </xf>
    <xf numFmtId="0" fontId="0" fillId="13" borderId="2" xfId="0" applyFill="1" applyBorder="1" applyAlignment="1">
      <alignment wrapText="1"/>
    </xf>
    <xf numFmtId="0" fontId="0" fillId="17" borderId="2" xfId="9" applyFont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9" fontId="0" fillId="0" borderId="2" xfId="2" applyFont="1" applyFill="1" applyBorder="1" applyAlignment="1">
      <alignment wrapText="1"/>
    </xf>
    <xf numFmtId="0" fontId="11" fillId="0" borderId="2" xfId="1" applyNumberFormat="1" applyFont="1" applyFill="1" applyBorder="1"/>
    <xf numFmtId="0" fontId="11" fillId="0" borderId="2" xfId="1" applyNumberFormat="1" applyFont="1" applyBorder="1"/>
    <xf numFmtId="1" fontId="0" fillId="6" borderId="2" xfId="0" applyNumberFormat="1" applyFill="1" applyBorder="1" applyAlignment="1">
      <alignment horizontal="left"/>
    </xf>
    <xf numFmtId="10" fontId="12" fillId="7" borderId="2" xfId="0" applyNumberFormat="1" applyFont="1" applyFill="1" applyBorder="1"/>
    <xf numFmtId="0" fontId="0" fillId="0" borderId="9" xfId="0" applyBorder="1" applyAlignment="1"/>
    <xf numFmtId="0" fontId="0" fillId="0" borderId="2" xfId="0" applyBorder="1" applyAlignment="1"/>
    <xf numFmtId="0" fontId="0" fillId="0" borderId="0" xfId="0" applyFill="1" applyAlignment="1"/>
    <xf numFmtId="0" fontId="0" fillId="0" borderId="2" xfId="0" applyFill="1" applyBorder="1" applyAlignment="1"/>
    <xf numFmtId="0" fontId="0" fillId="6" borderId="2" xfId="0" applyFill="1" applyBorder="1" applyAlignment="1"/>
    <xf numFmtId="0" fontId="0" fillId="0" borderId="0" xfId="0" applyFill="1" applyBorder="1" applyAlignment="1"/>
    <xf numFmtId="0" fontId="1" fillId="6" borderId="2" xfId="7" applyFill="1" applyBorder="1" applyAlignment="1"/>
    <xf numFmtId="9" fontId="0" fillId="0" borderId="2" xfId="2" applyFont="1" applyFill="1" applyBorder="1" applyAlignment="1"/>
    <xf numFmtId="9" fontId="0" fillId="0" borderId="0" xfId="2" applyFont="1" applyFill="1" applyAlignment="1"/>
    <xf numFmtId="0" fontId="0" fillId="0" borderId="2" xfId="0" applyFont="1" applyFill="1" applyBorder="1" applyAlignment="1"/>
    <xf numFmtId="0" fontId="0" fillId="7" borderId="2" xfId="0" applyFill="1" applyBorder="1" applyAlignment="1"/>
    <xf numFmtId="0" fontId="0" fillId="7" borderId="2" xfId="0" applyNumberFormat="1" applyFill="1" applyBorder="1" applyAlignment="1"/>
    <xf numFmtId="167" fontId="0" fillId="0" borderId="2" xfId="0" applyNumberFormat="1" applyFill="1" applyBorder="1" applyAlignment="1"/>
    <xf numFmtId="167" fontId="0" fillId="0" borderId="0" xfId="0" applyNumberFormat="1" applyFill="1" applyAlignment="1"/>
    <xf numFmtId="9" fontId="0" fillId="7" borderId="2" xfId="2" applyFont="1" applyFill="1" applyBorder="1" applyAlignment="1"/>
    <xf numFmtId="0" fontId="1" fillId="0" borderId="2" xfId="0" applyFont="1" applyFill="1" applyBorder="1" applyAlignment="1"/>
    <xf numFmtId="0" fontId="0" fillId="2" borderId="2" xfId="0" applyFill="1" applyBorder="1" applyAlignment="1"/>
    <xf numFmtId="0" fontId="6" fillId="2" borderId="2" xfId="6" applyFill="1" applyBorder="1" applyAlignment="1"/>
    <xf numFmtId="0" fontId="0" fillId="2" borderId="0" xfId="0" applyFill="1" applyAlignment="1"/>
    <xf numFmtId="0" fontId="0" fillId="0" borderId="6" xfId="0" applyFill="1" applyBorder="1" applyAlignment="1"/>
    <xf numFmtId="0" fontId="0" fillId="0" borderId="4" xfId="0" applyFill="1" applyBorder="1" applyAlignment="1"/>
    <xf numFmtId="0" fontId="14" fillId="0" borderId="2" xfId="0" applyFont="1" applyBorder="1" applyAlignment="1"/>
    <xf numFmtId="10" fontId="0" fillId="0" borderId="2" xfId="0" applyNumberFormat="1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Alignment="1">
      <alignment vertical="top" wrapText="1"/>
    </xf>
    <xf numFmtId="9" fontId="0" fillId="0" borderId="0" xfId="2" applyFont="1" applyFill="1" applyBorder="1" applyAlignment="1">
      <alignment horizontal="left" wrapText="1"/>
    </xf>
    <xf numFmtId="9" fontId="0" fillId="0" borderId="0" xfId="2" applyFont="1" applyFill="1" applyBorder="1" applyAlignment="1">
      <alignment wrapText="1"/>
    </xf>
    <xf numFmtId="9" fontId="0" fillId="0" borderId="0" xfId="2" applyFont="1" applyFill="1" applyAlignment="1">
      <alignment wrapText="1"/>
    </xf>
    <xf numFmtId="0" fontId="0" fillId="0" borderId="2" xfId="0" applyFont="1" applyFill="1" applyBorder="1" applyAlignment="1">
      <alignment wrapText="1"/>
    </xf>
    <xf numFmtId="10" fontId="0" fillId="0" borderId="2" xfId="0" applyNumberFormat="1" applyFont="1" applyFill="1" applyBorder="1" applyAlignment="1">
      <alignment wrapText="1"/>
    </xf>
    <xf numFmtId="0" fontId="7" fillId="9" borderId="11" xfId="4" applyNumberFormat="1" applyFont="1" applyFill="1" applyBorder="1" applyAlignment="1">
      <alignment horizontal="left"/>
    </xf>
    <xf numFmtId="0" fontId="7" fillId="9" borderId="11" xfId="0" applyNumberFormat="1" applyFont="1" applyFill="1" applyBorder="1" applyAlignment="1">
      <alignment horizontal="left"/>
    </xf>
    <xf numFmtId="0" fontId="6" fillId="4" borderId="2" xfId="6" applyNumberFormat="1" applyFill="1" applyBorder="1"/>
    <xf numFmtId="0" fontId="7" fillId="6" borderId="3" xfId="0" applyNumberFormat="1" applyFont="1" applyFill="1" applyBorder="1"/>
    <xf numFmtId="0" fontId="7" fillId="6" borderId="11" xfId="0" applyNumberFormat="1" applyFont="1" applyFill="1" applyBorder="1"/>
    <xf numFmtId="0" fontId="7" fillId="6" borderId="11" xfId="0" applyNumberFormat="1" applyFont="1" applyFill="1" applyBorder="1" applyAlignment="1">
      <alignment wrapText="1"/>
    </xf>
    <xf numFmtId="0" fontId="7" fillId="4" borderId="9" xfId="0" applyNumberFormat="1" applyFont="1" applyFill="1" applyBorder="1"/>
    <xf numFmtId="0" fontId="7" fillId="6" borderId="2" xfId="0" applyNumberFormat="1" applyFont="1" applyFill="1" applyBorder="1"/>
    <xf numFmtId="0" fontId="7" fillId="0" borderId="2" xfId="0" applyNumberFormat="1" applyFont="1" applyFill="1" applyBorder="1"/>
    <xf numFmtId="0" fontId="7" fillId="6" borderId="2" xfId="0" applyNumberFormat="1" applyFont="1" applyFill="1" applyBorder="1" applyAlignment="1">
      <alignment wrapText="1"/>
    </xf>
    <xf numFmtId="0" fontId="7" fillId="7" borderId="2" xfId="0" applyNumberFormat="1" applyFont="1" applyFill="1" applyBorder="1"/>
    <xf numFmtId="0" fontId="7" fillId="0" borderId="9" xfId="0" applyNumberFormat="1" applyFont="1" applyFill="1" applyBorder="1"/>
    <xf numFmtId="0" fontId="7" fillId="0" borderId="4" xfId="0" applyFont="1" applyFill="1" applyBorder="1" applyAlignment="1">
      <alignment horizontal="left"/>
    </xf>
    <xf numFmtId="0" fontId="6" fillId="4" borderId="2" xfId="6" applyNumberFormat="1" applyFill="1" applyBorder="1" applyAlignment="1">
      <alignment horizontal="left"/>
    </xf>
    <xf numFmtId="0" fontId="7" fillId="6" borderId="10" xfId="0" applyNumberFormat="1" applyFont="1" applyFill="1" applyBorder="1" applyAlignment="1">
      <alignment horizontal="left"/>
    </xf>
    <xf numFmtId="0" fontId="7" fillId="6" borderId="2" xfId="0" applyNumberFormat="1" applyFont="1" applyFill="1" applyBorder="1" applyAlignment="1">
      <alignment horizontal="left"/>
    </xf>
    <xf numFmtId="0" fontId="7" fillId="0" borderId="4" xfId="0" applyNumberFormat="1" applyFont="1" applyFill="1" applyBorder="1" applyAlignment="1">
      <alignment horizontal="left"/>
    </xf>
    <xf numFmtId="0" fontId="1" fillId="0" borderId="8" xfId="7" applyNumberFormat="1" applyFill="1" applyAlignment="1">
      <alignment horizontal="left"/>
    </xf>
    <xf numFmtId="0" fontId="7" fillId="0" borderId="2" xfId="0" applyNumberFormat="1" applyFont="1" applyFill="1" applyBorder="1" applyAlignment="1">
      <alignment horizontal="left"/>
    </xf>
    <xf numFmtId="0" fontId="7" fillId="4" borderId="9" xfId="0" applyNumberFormat="1" applyFont="1" applyFill="1" applyBorder="1" applyAlignment="1">
      <alignment horizontal="left"/>
    </xf>
    <xf numFmtId="0" fontId="7" fillId="7" borderId="2" xfId="0" applyNumberFormat="1" applyFont="1" applyFill="1" applyBorder="1" applyAlignment="1">
      <alignment horizontal="left"/>
    </xf>
    <xf numFmtId="0" fontId="7" fillId="0" borderId="9" xfId="0" applyNumberFormat="1" applyFont="1" applyFill="1" applyBorder="1" applyAlignment="1">
      <alignment horizontal="left"/>
    </xf>
    <xf numFmtId="0" fontId="6" fillId="16" borderId="2" xfId="6" applyNumberFormat="1" applyFill="1" applyBorder="1" applyAlignment="1">
      <alignment horizontal="left"/>
    </xf>
    <xf numFmtId="0" fontId="7" fillId="0" borderId="10" xfId="0" applyNumberFormat="1" applyFont="1" applyFill="1" applyBorder="1" applyAlignment="1">
      <alignment horizontal="left"/>
    </xf>
    <xf numFmtId="0" fontId="7" fillId="8" borderId="2" xfId="0" applyNumberFormat="1" applyFont="1" applyFill="1" applyBorder="1" applyAlignment="1">
      <alignment horizontal="left"/>
    </xf>
    <xf numFmtId="0" fontId="3" fillId="6" borderId="2" xfId="7" applyFont="1" applyFill="1" applyBorder="1" applyAlignment="1"/>
    <xf numFmtId="0" fontId="1" fillId="0" borderId="8" xfId="7" applyFont="1" applyFill="1" applyAlignment="1"/>
    <xf numFmtId="167" fontId="1" fillId="0" borderId="8" xfId="7" applyNumberFormat="1" applyFont="1" applyFill="1" applyAlignment="1"/>
    <xf numFmtId="9" fontId="1" fillId="0" borderId="2" xfId="7" applyNumberFormat="1" applyFont="1" applyFill="1" applyBorder="1" applyAlignment="1"/>
    <xf numFmtId="0" fontId="0" fillId="6" borderId="2" xfId="0" applyFill="1" applyBorder="1" applyAlignment="1">
      <alignment horizontal="left" vertical="top"/>
    </xf>
    <xf numFmtId="0" fontId="0" fillId="7" borderId="2" xfId="0" applyFill="1" applyBorder="1" applyAlignment="1">
      <alignment wrapText="1"/>
    </xf>
    <xf numFmtId="0" fontId="0" fillId="0" borderId="2" xfId="0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0" fillId="6" borderId="2" xfId="0" applyFill="1" applyBorder="1" applyAlignment="1">
      <alignment vertical="top"/>
    </xf>
    <xf numFmtId="167" fontId="1" fillId="6" borderId="2" xfId="7" applyNumberFormat="1" applyFill="1" applyBorder="1" applyAlignment="1"/>
    <xf numFmtId="0" fontId="0" fillId="6" borderId="2" xfId="4" applyNumberFormat="1" applyFont="1" applyFill="1" applyBorder="1" applyAlignment="1"/>
    <xf numFmtId="9" fontId="0" fillId="6" borderId="2" xfId="2" applyFont="1" applyFill="1" applyBorder="1" applyAlignment="1"/>
    <xf numFmtId="0" fontId="0" fillId="6" borderId="2" xfId="0" applyFont="1" applyFill="1" applyBorder="1" applyAlignment="1"/>
    <xf numFmtId="0" fontId="0" fillId="6" borderId="0" xfId="0" applyFill="1" applyBorder="1" applyAlignment="1"/>
    <xf numFmtId="0" fontId="0" fillId="0" borderId="0" xfId="0" applyFont="1" applyAlignment="1">
      <alignment horizontal="left"/>
    </xf>
    <xf numFmtId="0" fontId="7" fillId="6" borderId="10" xfId="0" applyFont="1" applyFill="1" applyBorder="1" applyAlignment="1">
      <alignment wrapText="1"/>
    </xf>
    <xf numFmtId="0" fontId="0" fillId="17" borderId="10" xfId="9" applyFont="1" applyBorder="1" applyAlignment="1">
      <alignment wrapText="1"/>
    </xf>
    <xf numFmtId="0" fontId="0" fillId="0" borderId="10" xfId="2" applyNumberFormat="1" applyFont="1" applyBorder="1" applyAlignment="1">
      <alignment wrapText="1"/>
    </xf>
    <xf numFmtId="0" fontId="0" fillId="0" borderId="10" xfId="0" applyNumberFormat="1" applyBorder="1" applyAlignment="1">
      <alignment wrapText="1"/>
    </xf>
    <xf numFmtId="0" fontId="0" fillId="0" borderId="10" xfId="0" applyBorder="1" applyAlignment="1">
      <alignment wrapText="1"/>
    </xf>
    <xf numFmtId="9" fontId="0" fillId="0" borderId="10" xfId="2" applyFont="1" applyBorder="1" applyAlignment="1">
      <alignment wrapText="1"/>
    </xf>
    <xf numFmtId="9" fontId="0" fillId="13" borderId="10" xfId="2" applyFont="1" applyFill="1" applyBorder="1" applyAlignment="1">
      <alignment wrapText="1"/>
    </xf>
    <xf numFmtId="9" fontId="0" fillId="0" borderId="10" xfId="0" applyNumberFormat="1" applyBorder="1" applyAlignment="1">
      <alignment wrapText="1"/>
    </xf>
    <xf numFmtId="0" fontId="1" fillId="13" borderId="2" xfId="0" applyFont="1" applyFill="1" applyBorder="1" applyAlignment="1">
      <alignment horizontal="center" vertical="center" wrapText="1"/>
    </xf>
    <xf numFmtId="0" fontId="5" fillId="0" borderId="0" xfId="5" applyAlignment="1">
      <alignment horizontal="center"/>
    </xf>
    <xf numFmtId="0" fontId="5" fillId="0" borderId="0" xfId="5" applyFill="1" applyBorder="1" applyAlignment="1">
      <alignment horizontal="center"/>
    </xf>
    <xf numFmtId="0" fontId="0" fillId="6" borderId="2" xfId="0" applyFill="1" applyBorder="1" applyAlignment="1">
      <alignment horizontal="left" vertical="top"/>
    </xf>
    <xf numFmtId="0" fontId="7" fillId="6" borderId="11" xfId="0" applyFont="1" applyFill="1" applyBorder="1" applyAlignment="1">
      <alignment horizontal="center"/>
    </xf>
    <xf numFmtId="0" fontId="7" fillId="6" borderId="14" xfId="0" applyFont="1" applyFill="1" applyBorder="1" applyAlignment="1">
      <alignment horizontal="center"/>
    </xf>
    <xf numFmtId="0" fontId="5" fillId="0" borderId="1" xfId="5" applyFill="1" applyBorder="1" applyAlignment="1">
      <alignment horizontal="center"/>
    </xf>
    <xf numFmtId="0" fontId="6" fillId="0" borderId="5" xfId="6" applyFill="1" applyAlignment="1">
      <alignment horizontal="center"/>
    </xf>
    <xf numFmtId="0" fontId="15" fillId="0" borderId="1" xfId="10" applyFill="1" applyAlignment="1">
      <alignment horizontal="center" wrapText="1"/>
    </xf>
    <xf numFmtId="0" fontId="0" fillId="2" borderId="3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15" fillId="0" borderId="1" xfId="10" applyAlignment="1">
      <alignment horizontal="center"/>
    </xf>
  </cellXfs>
  <cellStyles count="11">
    <cellStyle name="Currency" xfId="4" builtinId="4"/>
    <cellStyle name="Heading 1" xfId="10" builtinId="16"/>
    <cellStyle name="Heading 2" xfId="6" builtinId="17"/>
    <cellStyle name="Hyperlink" xfId="1" builtinId="8"/>
    <cellStyle name="Linked Cell" xfId="8" builtinId="24"/>
    <cellStyle name="Normal" xfId="0" builtinId="0"/>
    <cellStyle name="Note" xfId="9" builtinId="10"/>
    <cellStyle name="Percent" xfId="2" builtinId="5"/>
    <cellStyle name="Title" xfId="5" builtinId="15"/>
    <cellStyle name="Total" xfId="7" builtinId="25"/>
    <cellStyle name="Warning Text" xfId="3" builtinId="11"/>
  </cellStyles>
  <dxfs count="3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  <border>
        <vertical/>
        <horizontal/>
      </border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5050"/>
      <color rgb="FFFF7C80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xlFile://Root/Users/jonat_000/Downloads/ERM%20-%20Transactions%20v0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ort"/>
    </sheetNames>
    <sheetDataSet>
      <sheetData sheetId="0" refreshError="1"/>
    </sheetDataSet>
  </externalBook>
</externalLink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zoomScale="85" zoomScaleNormal="85" workbookViewId="0">
      <selection activeCell="E4" sqref="E4"/>
    </sheetView>
  </sheetViews>
  <sheetFormatPr defaultRowHeight="16.5" x14ac:dyDescent="0.3"/>
  <cols>
    <col min="1" max="1" width="57.375" customWidth="1"/>
    <col min="2" max="2" width="22.25" customWidth="1"/>
    <col min="3" max="3" width="21.875" customWidth="1"/>
    <col min="4" max="4" width="18.875" customWidth="1"/>
    <col min="5" max="5" width="40.25" customWidth="1"/>
    <col min="6" max="6" width="14.25" customWidth="1"/>
    <col min="7" max="7" width="18" bestFit="1" customWidth="1"/>
    <col min="8" max="8" width="15.875" customWidth="1"/>
  </cols>
  <sheetData>
    <row r="1" spans="1:6" ht="24" x14ac:dyDescent="0.35">
      <c r="A1" s="227" t="s">
        <v>0</v>
      </c>
      <c r="B1" s="227"/>
      <c r="C1" s="227"/>
    </row>
    <row r="2" spans="1:6" s="43" customFormat="1" thickBot="1" x14ac:dyDescent="0.25">
      <c r="A2" s="44" t="s">
        <v>1</v>
      </c>
      <c r="B2" s="44"/>
    </row>
    <row r="3" spans="1:6" ht="18" thickTop="1" x14ac:dyDescent="0.3">
      <c r="A3" s="63" t="str">
        <f>Customer!A14</f>
        <v>Accounts using Stuctures</v>
      </c>
      <c r="B3" s="30">
        <f>Customer!B14</f>
        <v>0</v>
      </c>
    </row>
    <row r="4" spans="1:6" ht="17.25" x14ac:dyDescent="0.3">
      <c r="A4" s="29" t="s">
        <v>2</v>
      </c>
      <c r="B4" s="147" t="e">
        <f>Customer!B15</f>
        <v>#DIV/0!</v>
      </c>
    </row>
    <row r="5" spans="1:6" x14ac:dyDescent="0.3">
      <c r="A5" s="63" t="s">
        <v>3</v>
      </c>
      <c r="B5" s="64">
        <f>Customer!B47+Customer!B33</f>
        <v>0</v>
      </c>
    </row>
    <row r="6" spans="1:6" x14ac:dyDescent="0.3">
      <c r="A6" s="63" t="s">
        <v>4</v>
      </c>
      <c r="B6" s="65">
        <f>Customer!B52+'Company, incl. Services'!B30</f>
        <v>0</v>
      </c>
    </row>
    <row r="7" spans="1:6" x14ac:dyDescent="0.3">
      <c r="A7" s="63" t="s">
        <v>5</v>
      </c>
      <c r="B7" s="65">
        <f>Customer!B27+Customer!B42</f>
        <v>0</v>
      </c>
      <c r="E7" s="146" t="s">
        <v>6</v>
      </c>
      <c r="F7" s="71">
        <f ca="1">Transactions!B22</f>
        <v>0</v>
      </c>
    </row>
    <row r="8" spans="1:6" x14ac:dyDescent="0.3">
      <c r="A8" s="63" t="s">
        <v>7</v>
      </c>
      <c r="B8" s="66" t="e">
        <f>'Company, incl. Services'!B20/'Company, incl. Services'!B19</f>
        <v>#DIV/0!</v>
      </c>
      <c r="E8" s="72" t="s">
        <v>8</v>
      </c>
      <c r="F8" s="71">
        <f ca="1">Transactions!B23</f>
        <v>0</v>
      </c>
    </row>
    <row r="9" spans="1:6" x14ac:dyDescent="0.3">
      <c r="A9" s="63" t="s">
        <v>9</v>
      </c>
      <c r="B9" s="66" t="e">
        <f>'Company, incl. Services'!B22/'Company, incl. Services'!B19</f>
        <v>#DIV/0!</v>
      </c>
      <c r="E9" s="72" t="s">
        <v>10</v>
      </c>
      <c r="F9" s="71">
        <f ca="1">Transactions!B24</f>
        <v>0</v>
      </c>
    </row>
    <row r="10" spans="1:6" x14ac:dyDescent="0.3">
      <c r="A10" s="67"/>
      <c r="B10" s="67"/>
    </row>
    <row r="11" spans="1:6" x14ac:dyDescent="0.3">
      <c r="A11" s="63" t="s">
        <v>11</v>
      </c>
      <c r="B11" s="66">
        <f>Transactions!B21</f>
        <v>1</v>
      </c>
    </row>
    <row r="12" spans="1:6" x14ac:dyDescent="0.3">
      <c r="A12" s="63" t="s">
        <v>12</v>
      </c>
      <c r="B12" s="66">
        <f>Transactions!C21</f>
        <v>0</v>
      </c>
    </row>
    <row r="14" spans="1:6" ht="17.25" x14ac:dyDescent="0.3">
      <c r="A14" s="44" t="s">
        <v>13</v>
      </c>
      <c r="B14" s="59" t="s">
        <v>14</v>
      </c>
      <c r="C14" s="60" t="s">
        <v>15</v>
      </c>
      <c r="D14" s="60" t="s">
        <v>16</v>
      </c>
    </row>
    <row r="15" spans="1:6" ht="17.25" x14ac:dyDescent="0.3">
      <c r="A15" s="56" t="s">
        <v>17</v>
      </c>
      <c r="B15" s="144">
        <f>Customer!F57</f>
        <v>0</v>
      </c>
      <c r="C15" s="145" t="e">
        <f>Jurisdictions!O4</f>
        <v>#DIV/0!</v>
      </c>
      <c r="D15" s="61">
        <f>'Company, incl. Services'!B39</f>
        <v>0</v>
      </c>
    </row>
    <row r="16" spans="1:6" ht="17.25" x14ac:dyDescent="0.3">
      <c r="A16" s="57" t="s">
        <v>18</v>
      </c>
      <c r="B16" s="144">
        <f>Customer!F58</f>
        <v>0</v>
      </c>
      <c r="C16" s="145" t="e">
        <f>Jurisdictions!O5</f>
        <v>#DIV/0!</v>
      </c>
      <c r="D16" s="61">
        <f>'Company, incl. Services'!B40</f>
        <v>0</v>
      </c>
    </row>
    <row r="17" spans="1:4" ht="17.25" x14ac:dyDescent="0.3">
      <c r="A17" s="56" t="s">
        <v>19</v>
      </c>
      <c r="B17" s="144">
        <f>Customer!F59</f>
        <v>0</v>
      </c>
      <c r="C17" s="145" t="e">
        <f>Jurisdictions!O6</f>
        <v>#DIV/0!</v>
      </c>
      <c r="D17" s="61">
        <f>'Company, incl. Services'!B41</f>
        <v>0</v>
      </c>
    </row>
    <row r="18" spans="1:4" ht="17.25" x14ac:dyDescent="0.3">
      <c r="A18" s="56" t="s">
        <v>20</v>
      </c>
      <c r="B18" s="144">
        <f>Customer!F60</f>
        <v>0</v>
      </c>
      <c r="C18" s="145" t="e">
        <f>Jurisdictions!O7</f>
        <v>#DIV/0!</v>
      </c>
      <c r="D18" s="61">
        <f>'Company, incl. Services'!B42</f>
        <v>0</v>
      </c>
    </row>
    <row r="19" spans="1:4" ht="17.25" x14ac:dyDescent="0.3">
      <c r="A19" s="56" t="s">
        <v>21</v>
      </c>
      <c r="B19" s="144">
        <f>Customer!F61</f>
        <v>0</v>
      </c>
      <c r="C19" s="145" t="e">
        <f>Jurisdictions!O8</f>
        <v>#DIV/0!</v>
      </c>
      <c r="D19" s="61">
        <f>'Company, incl. Services'!B43</f>
        <v>0</v>
      </c>
    </row>
    <row r="20" spans="1:4" ht="17.25" x14ac:dyDescent="0.3">
      <c r="A20" s="56" t="s">
        <v>22</v>
      </c>
      <c r="B20" s="144">
        <f>Customer!F62</f>
        <v>0</v>
      </c>
      <c r="C20" s="145" t="e">
        <f>Jurisdictions!O9</f>
        <v>#DIV/0!</v>
      </c>
      <c r="D20" s="61">
        <f>'Company, incl. Services'!B44</f>
        <v>0</v>
      </c>
    </row>
    <row r="21" spans="1:4" ht="17.25" x14ac:dyDescent="0.3">
      <c r="A21" s="56" t="s">
        <v>23</v>
      </c>
      <c r="B21" s="144">
        <f>Customer!F63</f>
        <v>0</v>
      </c>
      <c r="C21" s="145" t="e">
        <f>Jurisdictions!O10</f>
        <v>#DIV/0!</v>
      </c>
      <c r="D21" s="61">
        <f>'Company, incl. Services'!B45</f>
        <v>0</v>
      </c>
    </row>
    <row r="22" spans="1:4" ht="17.25" x14ac:dyDescent="0.3">
      <c r="A22" s="56" t="s">
        <v>24</v>
      </c>
      <c r="B22" s="144">
        <f>Customer!F64</f>
        <v>0</v>
      </c>
      <c r="C22" s="145" t="e">
        <f>Jurisdictions!O11</f>
        <v>#DIV/0!</v>
      </c>
      <c r="D22" s="61">
        <f>'Company, incl. Services'!B46</f>
        <v>0</v>
      </c>
    </row>
    <row r="23" spans="1:4" ht="17.25" x14ac:dyDescent="0.3">
      <c r="A23" s="56" t="s">
        <v>25</v>
      </c>
      <c r="B23" s="144">
        <f>Customer!F65</f>
        <v>0</v>
      </c>
      <c r="C23" s="145" t="e">
        <f>Jurisdictions!O12</f>
        <v>#DIV/0!</v>
      </c>
      <c r="D23" s="61">
        <f>'Company, incl. Services'!B47</f>
        <v>0</v>
      </c>
    </row>
    <row r="24" spans="1:4" ht="17.25" x14ac:dyDescent="0.3">
      <c r="A24" s="56" t="s">
        <v>26</v>
      </c>
      <c r="B24" s="144">
        <f>Customer!F66</f>
        <v>0</v>
      </c>
      <c r="C24" s="145" t="e">
        <f>Jurisdictions!O13</f>
        <v>#DIV/0!</v>
      </c>
      <c r="D24" s="61">
        <f>'Company, incl. Services'!B48</f>
        <v>0</v>
      </c>
    </row>
    <row r="25" spans="1:4" ht="17.25" x14ac:dyDescent="0.3">
      <c r="A25" s="58" t="s">
        <v>27</v>
      </c>
      <c r="B25" s="144">
        <f>Customer!F67</f>
        <v>0</v>
      </c>
      <c r="C25" s="145" t="e">
        <f>Jurisdictions!O14</f>
        <v>#DIV/0!</v>
      </c>
      <c r="D25" s="61">
        <f>'Company, incl. Services'!B49</f>
        <v>0</v>
      </c>
    </row>
    <row r="26" spans="1:4" ht="17.25" x14ac:dyDescent="0.3">
      <c r="A26" s="57" t="s">
        <v>28</v>
      </c>
      <c r="B26" s="144">
        <f>Customer!F68</f>
        <v>0</v>
      </c>
      <c r="C26" s="145" t="e">
        <f>Jurisdictions!O15</f>
        <v>#DIV/0!</v>
      </c>
      <c r="D26" s="61">
        <f>'Company, incl. Services'!B50</f>
        <v>0</v>
      </c>
    </row>
    <row r="27" spans="1:4" ht="17.25" x14ac:dyDescent="0.3">
      <c r="A27" s="56" t="s">
        <v>29</v>
      </c>
      <c r="B27" s="144">
        <f>Customer!F69</f>
        <v>0</v>
      </c>
      <c r="C27" s="145" t="e">
        <f>Jurisdictions!O16</f>
        <v>#DIV/0!</v>
      </c>
      <c r="D27" s="61">
        <f>'Company, incl. Services'!B51</f>
        <v>0</v>
      </c>
    </row>
    <row r="28" spans="1:4" ht="17.25" x14ac:dyDescent="0.3">
      <c r="A28" s="57" t="s">
        <v>30</v>
      </c>
      <c r="B28" s="144">
        <f>Customer!F70</f>
        <v>0</v>
      </c>
      <c r="C28" s="145" t="e">
        <f>Jurisdictions!O17</f>
        <v>#DIV/0!</v>
      </c>
      <c r="D28" s="61">
        <f>'Company, incl. Services'!B52</f>
        <v>0</v>
      </c>
    </row>
    <row r="29" spans="1:4" ht="17.25" x14ac:dyDescent="0.3">
      <c r="A29" s="56" t="s">
        <v>31</v>
      </c>
      <c r="B29" s="144">
        <f>Customer!F71</f>
        <v>0</v>
      </c>
      <c r="C29" s="145" t="e">
        <f>Jurisdictions!O18</f>
        <v>#DIV/0!</v>
      </c>
      <c r="D29" s="61">
        <f>'Company, incl. Services'!B53</f>
        <v>0</v>
      </c>
    </row>
    <row r="30" spans="1:4" ht="17.25" x14ac:dyDescent="0.3">
      <c r="A30" s="57" t="s">
        <v>32</v>
      </c>
      <c r="B30" s="144">
        <f>Customer!F72</f>
        <v>0</v>
      </c>
      <c r="C30" s="145" t="e">
        <f>Jurisdictions!O19</f>
        <v>#DIV/0!</v>
      </c>
      <c r="D30" s="61">
        <f>'Company, incl. Services'!B54</f>
        <v>0</v>
      </c>
    </row>
    <row r="31" spans="1:4" ht="17.25" x14ac:dyDescent="0.3">
      <c r="A31" s="57"/>
      <c r="B31" s="144">
        <f>Customer!F73</f>
        <v>0</v>
      </c>
      <c r="C31" s="145" t="e">
        <f>Jurisdictions!O25</f>
        <v>#DIV/0!</v>
      </c>
      <c r="D31" s="61">
        <f>'Company, incl. Services'!B59</f>
        <v>0</v>
      </c>
    </row>
    <row r="32" spans="1:4" ht="17.25" x14ac:dyDescent="0.3">
      <c r="A32" s="57"/>
      <c r="B32" s="144">
        <f>Customer!F74</f>
        <v>0</v>
      </c>
      <c r="C32" s="145" t="e">
        <f>Jurisdictions!O26</f>
        <v>#DIV/0!</v>
      </c>
      <c r="D32" s="61">
        <f>'Company, incl. Services'!B60</f>
        <v>0</v>
      </c>
    </row>
    <row r="33" spans="1:4" ht="17.25" x14ac:dyDescent="0.3">
      <c r="A33" s="57"/>
      <c r="B33" s="144">
        <f>Customer!F75</f>
        <v>0</v>
      </c>
      <c r="C33" s="145" t="e">
        <f>Jurisdictions!O27</f>
        <v>#DIV/0!</v>
      </c>
      <c r="D33" s="61">
        <f>'Company, incl. Services'!B61</f>
        <v>0</v>
      </c>
    </row>
    <row r="34" spans="1:4" ht="17.25" x14ac:dyDescent="0.3">
      <c r="A34" s="57"/>
      <c r="B34" s="144">
        <f>Customer!F76</f>
        <v>0</v>
      </c>
      <c r="C34" s="145" t="e">
        <f>Jurisdictions!O30</f>
        <v>#DIV/0!</v>
      </c>
      <c r="D34" s="61">
        <f>'Company, incl. Services'!B62</f>
        <v>0</v>
      </c>
    </row>
    <row r="35" spans="1:4" ht="17.25" x14ac:dyDescent="0.3">
      <c r="A35" s="57"/>
      <c r="B35" s="144">
        <f>Customer!F77</f>
        <v>0</v>
      </c>
      <c r="C35" s="145" t="e">
        <f>Jurisdictions!O31</f>
        <v>#DIV/0!</v>
      </c>
      <c r="D35" s="61">
        <f>'Company, incl. Services'!B63</f>
        <v>0</v>
      </c>
    </row>
    <row r="37" spans="1:4" x14ac:dyDescent="0.3">
      <c r="A37" s="41" t="s">
        <v>33</v>
      </c>
      <c r="B37" s="41"/>
    </row>
    <row r="38" spans="1:4" ht="17.25" x14ac:dyDescent="0.3">
      <c r="A38" s="110" t="str">
        <f>Support!A2</f>
        <v>Armament manufacturers, dealers and intermediaries.</v>
      </c>
      <c r="B38" s="62">
        <f>Customer!B57</f>
        <v>0</v>
      </c>
    </row>
    <row r="39" spans="1:4" ht="17.25" x14ac:dyDescent="0.3">
      <c r="A39" s="110" t="str">
        <f>Support!A3</f>
        <v>Art and antique dealers</v>
      </c>
      <c r="B39" s="62">
        <f>Customer!B58</f>
        <v>0</v>
      </c>
    </row>
    <row r="40" spans="1:4" ht="17.25" x14ac:dyDescent="0.3">
      <c r="A40" s="110" t="str">
        <f>Support!A4</f>
        <v>Amusement Arcades</v>
      </c>
      <c r="B40" s="62">
        <f>Customer!B59</f>
        <v>0</v>
      </c>
    </row>
    <row r="41" spans="1:4" ht="17.25" x14ac:dyDescent="0.3">
      <c r="A41" s="110" t="str">
        <f>Support!A5</f>
        <v>Auction houses</v>
      </c>
      <c r="B41" s="62">
        <f>Customer!B60</f>
        <v>0</v>
      </c>
    </row>
    <row r="42" spans="1:4" ht="17.25" x14ac:dyDescent="0.3">
      <c r="A42" s="110" t="str">
        <f>Support!A6</f>
        <v>Beauty salons</v>
      </c>
      <c r="B42" s="62">
        <f>Customer!B61</f>
        <v>0</v>
      </c>
    </row>
    <row r="43" spans="1:4" ht="17.25" x14ac:dyDescent="0.3">
      <c r="A43" s="110" t="str">
        <f>Support!A7</f>
        <v>Biotechnology</v>
      </c>
      <c r="B43" s="62">
        <f>Customer!B62</f>
        <v>0</v>
      </c>
    </row>
    <row r="44" spans="1:4" ht="17.25" x14ac:dyDescent="0.3">
      <c r="A44" s="110" t="str">
        <f>Support!A8</f>
        <v>Brokers</v>
      </c>
      <c r="B44" s="62">
        <f>Customer!B63</f>
        <v>0</v>
      </c>
    </row>
    <row r="45" spans="1:4" ht="17.25" x14ac:dyDescent="0.3">
      <c r="A45" s="110" t="str">
        <f>Support!A9</f>
        <v>Card clubs</v>
      </c>
      <c r="B45" s="62">
        <f>Customer!B64</f>
        <v>0</v>
      </c>
    </row>
    <row r="46" spans="1:4" ht="17.25" x14ac:dyDescent="0.3">
      <c r="A46" s="110" t="str">
        <f>Support!A10</f>
        <v>Casinos (betting and other gambling related activities)</v>
      </c>
      <c r="B46" s="62">
        <f>Customer!B65</f>
        <v>0</v>
      </c>
    </row>
    <row r="47" spans="1:4" ht="17.25" x14ac:dyDescent="0.3">
      <c r="A47" s="110" t="str">
        <f>Support!A11</f>
        <v>Charities (especially, unregulated charities and other unregulated “not for profit” organisations).</v>
      </c>
      <c r="B47" s="62">
        <f>Customer!B66</f>
        <v>0</v>
      </c>
    </row>
    <row r="48" spans="1:4" ht="17.25" x14ac:dyDescent="0.3">
      <c r="A48" s="110" t="str">
        <f>Support!A12</f>
        <v>Check cashing</v>
      </c>
      <c r="B48" s="62">
        <f>Customer!B67</f>
        <v>0</v>
      </c>
    </row>
    <row r="49" spans="1:2" ht="17.25" x14ac:dyDescent="0.3">
      <c r="A49" s="110" t="str">
        <f>Support!A13</f>
        <v>Chemical agents &amp; Fertilizers</v>
      </c>
      <c r="B49" s="62">
        <f>Customer!B68</f>
        <v>0</v>
      </c>
    </row>
    <row r="50" spans="1:2" ht="17.25" x14ac:dyDescent="0.3">
      <c r="A50" s="110" t="str">
        <f>Support!A14</f>
        <v>Cigarette distributors</v>
      </c>
      <c r="B50" s="62">
        <f>Customer!B69</f>
        <v>0</v>
      </c>
    </row>
    <row r="51" spans="1:2" ht="17.25" x14ac:dyDescent="0.3">
      <c r="A51" s="110" t="str">
        <f>Support!A15</f>
        <v>Construction</v>
      </c>
      <c r="B51" s="62">
        <f>Customer!B70</f>
        <v>0</v>
      </c>
    </row>
    <row r="52" spans="1:2" ht="17.25" x14ac:dyDescent="0.3">
      <c r="A52" s="110" t="str">
        <f>Support!A16</f>
        <v>Convenience stores that sale traveler’s checks and/or money orders</v>
      </c>
      <c r="B52" s="62">
        <f>Customer!B71</f>
        <v>0</v>
      </c>
    </row>
    <row r="53" spans="1:2" ht="17.25" x14ac:dyDescent="0.3">
      <c r="A53" s="110" t="str">
        <f>Support!A17</f>
        <v>Corporate Service Providers ( Auditors and Corporate Secreterial Serices)</v>
      </c>
      <c r="B53" s="62">
        <f>Customer!B72</f>
        <v>0</v>
      </c>
    </row>
    <row r="54" spans="1:2" ht="17.25" x14ac:dyDescent="0.3">
      <c r="A54" s="110" t="str">
        <f>Support!A18</f>
        <v>Dealers in high value or precious goods (e.g metals, stones, or jewels)</v>
      </c>
      <c r="B54" s="62">
        <f>Customer!B73</f>
        <v>0</v>
      </c>
    </row>
    <row r="55" spans="1:2" ht="17.25" x14ac:dyDescent="0.3">
      <c r="A55" s="110" t="str">
        <f>Support!A19</f>
        <v>Dealers in endangered species</v>
      </c>
      <c r="B55" s="62">
        <f>Customer!B74</f>
        <v>0</v>
      </c>
    </row>
    <row r="56" spans="1:2" ht="17.25" x14ac:dyDescent="0.3">
      <c r="A56" s="110" t="str">
        <f>Support!A20</f>
        <v>Energy (including Oil &amp; Gas)</v>
      </c>
      <c r="B56" s="62">
        <f>Customer!B75</f>
        <v>0</v>
      </c>
    </row>
    <row r="57" spans="1:2" ht="17.25" x14ac:dyDescent="0.3">
      <c r="A57" s="110" t="str">
        <f>Support!A21</f>
        <v>Estate agents and Real estate brokers</v>
      </c>
      <c r="B57" s="62">
        <f>Customer!B76</f>
        <v>0</v>
      </c>
    </row>
    <row r="58" spans="1:2" ht="17.25" x14ac:dyDescent="0.3">
      <c r="A58" s="110" t="str">
        <f>Support!A22</f>
        <v>Financial Service Providers</v>
      </c>
      <c r="B58" s="62">
        <f>Customer!B77</f>
        <v>0</v>
      </c>
    </row>
    <row r="59" spans="1:2" ht="17.25" x14ac:dyDescent="0.3">
      <c r="A59" s="110" t="str">
        <f>Support!A23</f>
        <v>Hotels &amp; Motels</v>
      </c>
      <c r="B59" s="62">
        <f>Customer!B78</f>
        <v>0</v>
      </c>
    </row>
    <row r="60" spans="1:2" ht="17.25" x14ac:dyDescent="0.3">
      <c r="A60" s="110" t="str">
        <f>Support!A24</f>
        <v>Legal Services</v>
      </c>
      <c r="B60" s="62">
        <f>Customer!B79</f>
        <v>0</v>
      </c>
    </row>
    <row r="61" spans="1:2" ht="17.25" x14ac:dyDescent="0.3">
      <c r="A61" s="110" t="str">
        <f>Support!A25</f>
        <v>Liquor stores</v>
      </c>
      <c r="B61" s="62">
        <f>Customer!B80</f>
        <v>0</v>
      </c>
    </row>
    <row r="62" spans="1:2" ht="17.25" x14ac:dyDescent="0.3">
      <c r="A62" s="110" t="str">
        <f>Support!A26</f>
        <v>Money lenders</v>
      </c>
      <c r="B62" s="62">
        <f>Customer!B81</f>
        <v>0</v>
      </c>
    </row>
    <row r="63" spans="1:2" ht="17.25" x14ac:dyDescent="0.3">
      <c r="A63" s="110" t="str">
        <f>Support!A27</f>
        <v>Money services businesses (remittance houses, exchange houses, casas de cambio, bureaux de change, money transfer agents and bank note traders)</v>
      </c>
      <c r="B63" s="62">
        <f>Customer!B82</f>
        <v>0</v>
      </c>
    </row>
    <row r="64" spans="1:2" ht="17.25" x14ac:dyDescent="0.3">
      <c r="A64" s="110" t="str">
        <f>Support!A28</f>
        <v>Movie theaters</v>
      </c>
      <c r="B64" s="62">
        <f>Customer!B83</f>
        <v>0</v>
      </c>
    </row>
    <row r="65" spans="1:2" ht="17.25" x14ac:dyDescent="0.3">
      <c r="A65" s="110" t="str">
        <f>Support!A29</f>
        <v>Nuclear/radioactive materials</v>
      </c>
      <c r="B65" s="62">
        <f>Customer!B84</f>
        <v>0</v>
      </c>
    </row>
    <row r="66" spans="1:2" ht="17.25" x14ac:dyDescent="0.3">
      <c r="A66" s="110" t="str">
        <f>Support!A30</f>
        <v>Parking garages</v>
      </c>
      <c r="B66" s="62">
        <f>Customer!B85</f>
        <v>0</v>
      </c>
    </row>
    <row r="67" spans="1:2" ht="17.25" x14ac:dyDescent="0.3">
      <c r="A67" s="110" t="str">
        <f>Support!A31</f>
        <v>PawnBrokers</v>
      </c>
      <c r="B67" s="62">
        <f>Customer!B86</f>
        <v>0</v>
      </c>
    </row>
    <row r="68" spans="1:2" ht="17.25" x14ac:dyDescent="0.3">
      <c r="A68" s="110" t="str">
        <f>Support!A32</f>
        <v>Ponzi schemes</v>
      </c>
      <c r="B68" s="62">
        <f>Customer!B87</f>
        <v>0</v>
      </c>
    </row>
    <row r="69" spans="1:2" ht="17.25" x14ac:dyDescent="0.3">
      <c r="A69" s="110" t="str">
        <f>Support!A33</f>
        <v>Pornography, Prostitution &amp; Escort agencies</v>
      </c>
      <c r="B69" s="62">
        <f>Customer!B88</f>
        <v>0</v>
      </c>
    </row>
    <row r="70" spans="1:2" ht="17.25" x14ac:dyDescent="0.3">
      <c r="A70" s="110" t="str">
        <f>Support!A34</f>
        <v>Privately owned ATMs</v>
      </c>
      <c r="B70" s="62">
        <f>Customer!B89</f>
        <v>0</v>
      </c>
    </row>
    <row r="71" spans="1:2" ht="17.25" x14ac:dyDescent="0.3">
      <c r="A71" s="110" t="str">
        <f>Support!A35</f>
        <v>Raw materials (eg. Extraction, Mining, etc..)</v>
      </c>
      <c r="B71" s="62">
        <f>Customer!B90</f>
        <v>0</v>
      </c>
    </row>
    <row r="72" spans="1:2" ht="17.25" x14ac:dyDescent="0.3">
      <c r="A72" s="110" t="str">
        <f>Support!A36</f>
        <v>Retail stores</v>
      </c>
      <c r="B72" s="62">
        <f>Customer!B91</f>
        <v>0</v>
      </c>
    </row>
    <row r="73" spans="1:2" ht="17.25" x14ac:dyDescent="0.3">
      <c r="A73" s="110" t="str">
        <f>Support!A37</f>
        <v>Restaurants &amp; Pubs</v>
      </c>
      <c r="B73" s="62">
        <f>Customer!B92</f>
        <v>0</v>
      </c>
    </row>
    <row r="74" spans="1:2" ht="17.25" x14ac:dyDescent="0.3">
      <c r="A74" s="110" t="str">
        <f>Support!A38</f>
        <v>Serviced apartment house operator</v>
      </c>
      <c r="B74" s="62">
        <f>Customer!B93</f>
        <v>0</v>
      </c>
    </row>
    <row r="75" spans="1:2" ht="17.25" x14ac:dyDescent="0.3">
      <c r="A75" s="110" t="str">
        <f>Support!A39</f>
        <v>Taxi firms,</v>
      </c>
      <c r="B75" s="62">
        <f>Customer!B94</f>
        <v>0</v>
      </c>
    </row>
    <row r="76" spans="1:2" ht="17.25" x14ac:dyDescent="0.3">
      <c r="A76" s="110" t="str">
        <f>Support!A40</f>
        <v>Used car or motorcycle dealers that finance their own sales</v>
      </c>
      <c r="B76" s="62">
        <f>Customer!B95</f>
        <v>0</v>
      </c>
    </row>
    <row r="77" spans="1:2" ht="17.25" x14ac:dyDescent="0.3">
      <c r="A77" s="110" t="str">
        <f>Support!A41</f>
        <v>Used boat dealers that finance their own sales</v>
      </c>
      <c r="B77" s="62">
        <f>Customer!B96</f>
        <v>0</v>
      </c>
    </row>
    <row r="78" spans="1:2" ht="17.25" x14ac:dyDescent="0.3">
      <c r="A78" s="110" t="str">
        <f>Support!A42</f>
        <v>Vending machine operators</v>
      </c>
      <c r="B78" s="62">
        <f>Customer!B97</f>
        <v>0</v>
      </c>
    </row>
    <row r="79" spans="1:2" ht="17.25" x14ac:dyDescent="0.3">
      <c r="A79" s="110" t="str">
        <f>Support!A43</f>
        <v>Others (businesses that may be cash intensive or generate substantial cash for certain transactions)</v>
      </c>
      <c r="B79" s="62">
        <f>Customer!B98</f>
        <v>0</v>
      </c>
    </row>
  </sheetData>
  <mergeCells count="1">
    <mergeCell ref="A1:C1"/>
  </mergeCells>
  <conditionalFormatting sqref="B15:B35">
    <cfRule type="colorScale" priority="32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5:C35">
    <cfRule type="colorScale" priority="32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5:D3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8:B7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count="1">
    <dataValidation type="list" allowBlank="1" showInputMessage="1" showErrorMessage="1" sqref="A15:A35">
      <formula1>countrylist</formula1>
    </dataValidation>
  </dataValidations>
  <hyperlinks>
    <hyperlink ref="B3" location="Customer!A1" display="Customer!A1"/>
    <hyperlink ref="B5" location="Customer!A1" display="Customer!A1"/>
    <hyperlink ref="B8" location="'Company, incl. Services'!A1" display="'Company, incl. Services'!A1"/>
    <hyperlink ref="B9" location="'Company, incl. Services'!A1" display="'Company, incl. Services'!A1"/>
    <hyperlink ref="B11:B12" location="Transactions!A1" display="Transactions!A1"/>
    <hyperlink ref="B15:B35" location="Customer!A1" display="Customer!A1"/>
    <hyperlink ref="C15:C35" location="Jurisdictions!A1" display="Jurisdictions!A1"/>
    <hyperlink ref="D15:D35" location="'Company, incl. Services'!A1" display="'Company, incl. Services'!A1"/>
    <hyperlink ref="B38:B79" location="Customer!A1" display="Customer!A1"/>
    <hyperlink ref="F7:F9" location="Transactions!A1" display="Transactions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opLeftCell="A19" zoomScale="85" zoomScaleNormal="85" workbookViewId="0">
      <selection activeCell="D35" sqref="D35:G35"/>
    </sheetView>
  </sheetViews>
  <sheetFormatPr defaultColWidth="9" defaultRowHeight="16.5" x14ac:dyDescent="0.3"/>
  <cols>
    <col min="1" max="1" width="25.75" style="153" customWidth="1"/>
    <col min="2" max="2" width="22" style="167" customWidth="1"/>
    <col min="3" max="3" width="36.25" style="168" customWidth="1"/>
    <col min="4" max="4" width="20.125" style="168" customWidth="1"/>
    <col min="5" max="5" width="19.25" style="150" customWidth="1"/>
    <col min="6" max="6" width="16" style="150" customWidth="1"/>
    <col min="7" max="7" width="17.125" style="150" customWidth="1"/>
    <col min="8" max="16384" width="9" style="150"/>
  </cols>
  <sheetData>
    <row r="1" spans="1:16" ht="24" x14ac:dyDescent="0.35">
      <c r="A1" s="228" t="s">
        <v>34</v>
      </c>
      <c r="B1" s="228"/>
      <c r="C1" s="228"/>
      <c r="D1" s="148"/>
      <c r="E1" s="148"/>
      <c r="F1" s="148"/>
      <c r="G1" s="149"/>
    </row>
    <row r="2" spans="1:16" x14ac:dyDescent="0.3">
      <c r="A2" s="151"/>
      <c r="B2" s="151"/>
      <c r="C2" s="151"/>
      <c r="D2" s="151"/>
      <c r="E2" s="151"/>
      <c r="F2" s="151"/>
      <c r="G2" s="151"/>
    </row>
    <row r="3" spans="1:16" s="13" customFormat="1" thickBot="1" x14ac:dyDescent="0.25">
      <c r="A3" s="109" t="s">
        <v>35</v>
      </c>
      <c r="B3" s="109"/>
      <c r="C3" s="109"/>
      <c r="D3" s="109" t="s">
        <v>36</v>
      </c>
      <c r="E3" s="109" t="s">
        <v>37</v>
      </c>
      <c r="F3" s="109" t="s">
        <v>38</v>
      </c>
      <c r="G3" s="109" t="s">
        <v>39</v>
      </c>
    </row>
    <row r="4" spans="1:16" ht="17.25" thickTop="1" x14ac:dyDescent="0.3">
      <c r="A4" s="151"/>
      <c r="B4" s="169"/>
      <c r="C4" s="152" t="s">
        <v>40</v>
      </c>
      <c r="D4" s="151"/>
      <c r="E4" s="151"/>
      <c r="F4" s="151"/>
      <c r="G4" s="151"/>
    </row>
    <row r="5" spans="1:16" x14ac:dyDescent="0.3">
      <c r="A5" s="151"/>
      <c r="B5" s="169"/>
      <c r="C5" s="152" t="s">
        <v>41</v>
      </c>
      <c r="D5" s="151"/>
      <c r="E5" s="151"/>
      <c r="F5" s="151"/>
      <c r="G5" s="151"/>
    </row>
    <row r="6" spans="1:16" x14ac:dyDescent="0.3">
      <c r="A6" s="151"/>
      <c r="B6" s="151"/>
      <c r="C6" s="152" t="s">
        <v>42</v>
      </c>
      <c r="D6" s="151"/>
      <c r="E6" s="151"/>
      <c r="F6" s="151"/>
      <c r="G6" s="151"/>
    </row>
    <row r="7" spans="1:16" x14ac:dyDescent="0.3">
      <c r="A7" s="151"/>
      <c r="B7" s="151"/>
      <c r="C7" s="152" t="s">
        <v>46</v>
      </c>
      <c r="D7" s="151"/>
      <c r="E7" s="151"/>
      <c r="F7" s="151"/>
      <c r="G7" s="151"/>
      <c r="H7" s="12"/>
      <c r="I7" s="12"/>
      <c r="J7" s="12"/>
      <c r="K7" s="12"/>
      <c r="L7" s="12"/>
      <c r="M7" s="12"/>
      <c r="N7" s="12"/>
      <c r="O7" s="12"/>
      <c r="P7" s="153"/>
    </row>
    <row r="8" spans="1:16" x14ac:dyDescent="0.3">
      <c r="A8" s="151"/>
      <c r="B8" s="151"/>
      <c r="C8" s="151"/>
      <c r="D8" s="151"/>
      <c r="E8" s="151"/>
      <c r="F8" s="151"/>
      <c r="G8" s="151"/>
      <c r="H8" s="12"/>
      <c r="I8" s="12"/>
      <c r="J8" s="12"/>
      <c r="K8" s="12"/>
      <c r="L8" s="12"/>
      <c r="M8" s="12"/>
      <c r="N8" s="12"/>
      <c r="O8" s="12"/>
      <c r="P8" s="153"/>
    </row>
    <row r="9" spans="1:16" ht="17.25" thickBot="1" x14ac:dyDescent="0.35">
      <c r="A9" s="154" t="s">
        <v>47</v>
      </c>
      <c r="B9" s="204">
        <f>SUM($D$9:$AA$9)</f>
        <v>0</v>
      </c>
      <c r="C9" s="152" t="s">
        <v>48</v>
      </c>
      <c r="D9" s="151"/>
      <c r="E9" s="151"/>
      <c r="F9" s="151"/>
      <c r="G9" s="151"/>
      <c r="H9" s="12"/>
      <c r="I9" s="12"/>
      <c r="J9" s="12"/>
      <c r="K9" s="12"/>
      <c r="L9" s="12"/>
      <c r="M9" s="12"/>
      <c r="N9" s="12"/>
      <c r="O9" s="12"/>
      <c r="P9" s="153"/>
    </row>
    <row r="10" spans="1:16" s="172" customFormat="1" ht="17.25" thickTop="1" x14ac:dyDescent="0.3">
      <c r="A10" s="209"/>
      <c r="B10" s="210"/>
      <c r="C10" s="211" t="s">
        <v>49</v>
      </c>
      <c r="D10" s="170" t="e">
        <f>D9/$B$9</f>
        <v>#DIV/0!</v>
      </c>
      <c r="E10" s="170" t="e">
        <f>E9/$B$9</f>
        <v>#DIV/0!</v>
      </c>
      <c r="F10" s="170" t="e">
        <f>F9/$B$9</f>
        <v>#DIV/0!</v>
      </c>
      <c r="G10" s="170" t="e">
        <f>G9/$B$9</f>
        <v>#DIV/0!</v>
      </c>
      <c r="H10" s="171"/>
      <c r="I10" s="171"/>
      <c r="J10" s="171"/>
      <c r="K10" s="171"/>
      <c r="L10" s="171"/>
      <c r="M10" s="171"/>
      <c r="N10" s="171"/>
      <c r="O10" s="171"/>
      <c r="P10" s="142"/>
    </row>
    <row r="11" spans="1:16" s="121" customFormat="1" ht="17.25" thickBot="1" x14ac:dyDescent="0.35">
      <c r="A11" s="212" t="s">
        <v>50</v>
      </c>
      <c r="B11" s="205">
        <f>SUM($D$11:$AA$11)</f>
        <v>0</v>
      </c>
      <c r="C11" s="213" t="s">
        <v>51</v>
      </c>
      <c r="D11" s="118"/>
      <c r="E11" s="118"/>
      <c r="F11" s="118"/>
      <c r="G11" s="118"/>
      <c r="H11" s="119"/>
      <c r="I11" s="119"/>
      <c r="J11" s="119"/>
      <c r="K11" s="119"/>
      <c r="L11" s="119"/>
      <c r="M11" s="119"/>
      <c r="N11" s="119"/>
      <c r="O11" s="119"/>
      <c r="P11" s="120"/>
    </row>
    <row r="12" spans="1:16" s="175" customFormat="1" ht="17.25" thickTop="1" x14ac:dyDescent="0.3">
      <c r="A12" s="155"/>
      <c r="B12" s="155"/>
      <c r="C12" s="214" t="s">
        <v>52</v>
      </c>
      <c r="D12" s="143" t="e">
        <f>D11/$B$11</f>
        <v>#DIV/0!</v>
      </c>
      <c r="E12" s="143" t="e">
        <f>E11/$B$11</f>
        <v>#DIV/0!</v>
      </c>
      <c r="F12" s="143" t="e">
        <f>F11/$B$11</f>
        <v>#DIV/0!</v>
      </c>
      <c r="G12" s="143" t="e">
        <f>G11/$B$11</f>
        <v>#DIV/0!</v>
      </c>
      <c r="H12" s="173"/>
      <c r="I12" s="173"/>
      <c r="J12" s="173"/>
      <c r="K12" s="173"/>
      <c r="L12" s="173"/>
      <c r="M12" s="173"/>
      <c r="N12" s="173"/>
      <c r="O12" s="173"/>
      <c r="P12" s="174"/>
    </row>
    <row r="13" spans="1:16" s="109" customFormat="1" ht="15.75" x14ac:dyDescent="0.2">
      <c r="A13" s="109" t="s">
        <v>53</v>
      </c>
    </row>
    <row r="14" spans="1:16" s="115" customFormat="1" x14ac:dyDescent="0.3">
      <c r="A14" s="152" t="s">
        <v>43</v>
      </c>
      <c r="B14" s="151">
        <f>COUNTIF($D$6:$AA$7,Support!A77)</f>
        <v>0</v>
      </c>
      <c r="C14" s="207" t="s">
        <v>54</v>
      </c>
      <c r="D14" s="114"/>
      <c r="E14" s="114"/>
      <c r="F14" s="114"/>
      <c r="G14" s="114"/>
    </row>
    <row r="15" spans="1:16" s="115" customFormat="1" x14ac:dyDescent="0.3">
      <c r="A15" s="152" t="s">
        <v>44</v>
      </c>
      <c r="B15" s="151">
        <f>COUNTIF($D$6:$AA$7,Support!A78)</f>
        <v>0</v>
      </c>
      <c r="C15" s="152" t="s">
        <v>55</v>
      </c>
      <c r="D15" s="114"/>
      <c r="E15" s="114"/>
      <c r="F15" s="114"/>
      <c r="G15" s="114"/>
      <c r="H15" s="116"/>
      <c r="I15" s="116"/>
      <c r="J15" s="116"/>
      <c r="K15" s="116"/>
      <c r="L15" s="116"/>
      <c r="M15" s="116"/>
      <c r="N15" s="116"/>
      <c r="O15" s="116"/>
      <c r="P15" s="117"/>
    </row>
    <row r="16" spans="1:16" s="115" customFormat="1" x14ac:dyDescent="0.3">
      <c r="A16" s="152" t="s">
        <v>56</v>
      </c>
      <c r="B16" s="151">
        <f>COUNTIF($D$6:$AA$7,Support!A79)</f>
        <v>0</v>
      </c>
      <c r="C16" s="152" t="s">
        <v>57</v>
      </c>
      <c r="D16" s="114"/>
      <c r="E16" s="114"/>
      <c r="F16" s="114"/>
      <c r="G16" s="114"/>
    </row>
    <row r="17" spans="1:16" s="115" customFormat="1" x14ac:dyDescent="0.3">
      <c r="A17" s="152" t="s">
        <v>45</v>
      </c>
      <c r="B17" s="151">
        <f>COUNTIF($D$6:$AA$7,Support!A80)</f>
        <v>0</v>
      </c>
      <c r="C17" s="152" t="s">
        <v>57</v>
      </c>
      <c r="D17" s="114"/>
      <c r="E17" s="114"/>
      <c r="F17" s="114"/>
      <c r="G17" s="114"/>
    </row>
    <row r="18" spans="1:16" x14ac:dyDescent="0.3">
      <c r="A18" s="151"/>
      <c r="B18" s="151"/>
      <c r="C18" s="157"/>
      <c r="D18" s="157"/>
      <c r="E18" s="157"/>
      <c r="F18" s="157"/>
      <c r="G18" s="157"/>
    </row>
    <row r="19" spans="1:16" s="115" customFormat="1" x14ac:dyDescent="0.3">
      <c r="A19" s="152" t="s">
        <v>58</v>
      </c>
      <c r="B19" s="151">
        <f>SUM($D$19:$AA$19)</f>
        <v>0</v>
      </c>
      <c r="C19" s="215" t="s">
        <v>59</v>
      </c>
      <c r="D19" s="176"/>
      <c r="E19" s="176"/>
      <c r="F19" s="176"/>
      <c r="G19" s="176"/>
    </row>
    <row r="20" spans="1:16" s="115" customFormat="1" x14ac:dyDescent="0.3">
      <c r="A20" s="152" t="s">
        <v>60</v>
      </c>
      <c r="B20" s="151">
        <f>SUM($D$20:$ZZ$20)</f>
        <v>0</v>
      </c>
      <c r="C20" s="152" t="s">
        <v>61</v>
      </c>
      <c r="D20" s="114"/>
      <c r="E20" s="114"/>
      <c r="F20" s="114"/>
      <c r="G20" s="114"/>
    </row>
    <row r="21" spans="1:16" s="175" customFormat="1" x14ac:dyDescent="0.3">
      <c r="A21" s="152" t="s">
        <v>62</v>
      </c>
      <c r="B21" s="155" t="e">
        <f xml:space="preserve"> 1-(B20/B19)</f>
        <v>#DIV/0!</v>
      </c>
      <c r="C21" s="214" t="s">
        <v>63</v>
      </c>
      <c r="D21" s="143" t="e">
        <f>1- (D20/D19)</f>
        <v>#DIV/0!</v>
      </c>
      <c r="E21" s="143" t="e">
        <f>1- (E20/E19)</f>
        <v>#DIV/0!</v>
      </c>
      <c r="F21" s="143" t="e">
        <f>1- (F20/F19)</f>
        <v>#DIV/0!</v>
      </c>
      <c r="G21" s="143" t="e">
        <f>1- (G20/G19)</f>
        <v>#DIV/0!</v>
      </c>
    </row>
    <row r="22" spans="1:16" s="115" customFormat="1" x14ac:dyDescent="0.3">
      <c r="A22" s="152" t="s">
        <v>64</v>
      </c>
      <c r="B22" s="151">
        <f>SUM($D$22:$AA$22)</f>
        <v>0</v>
      </c>
      <c r="C22" s="215" t="s">
        <v>65</v>
      </c>
      <c r="D22" s="176"/>
      <c r="E22" s="176"/>
      <c r="F22" s="176"/>
      <c r="G22" s="176"/>
    </row>
    <row r="23" spans="1:16" s="115" customFormat="1" x14ac:dyDescent="0.3">
      <c r="A23" s="151"/>
      <c r="B23" s="151"/>
      <c r="C23" s="215" t="s">
        <v>66</v>
      </c>
      <c r="D23" s="177" t="e">
        <f>D22/D19</f>
        <v>#DIV/0!</v>
      </c>
      <c r="E23" s="177" t="e">
        <f>E22/E19</f>
        <v>#DIV/0!</v>
      </c>
      <c r="F23" s="177" t="e">
        <f>F22/F19</f>
        <v>#DIV/0!</v>
      </c>
      <c r="G23" s="177" t="e">
        <f>G22/G19</f>
        <v>#DIV/0!</v>
      </c>
    </row>
    <row r="24" spans="1:16" x14ac:dyDescent="0.3">
      <c r="A24" s="151"/>
      <c r="B24" s="151"/>
      <c r="C24" s="157"/>
      <c r="D24" s="157"/>
      <c r="E24" s="157"/>
      <c r="F24" s="157"/>
      <c r="G24" s="157"/>
    </row>
    <row r="25" spans="1:16" x14ac:dyDescent="0.3">
      <c r="A25" s="152" t="s">
        <v>67</v>
      </c>
      <c r="B25" s="151">
        <f>COUNTIF($D$25:$AA$25, "Yes")</f>
        <v>0</v>
      </c>
      <c r="C25" s="152" t="s">
        <v>68</v>
      </c>
      <c r="D25" s="151"/>
      <c r="E25" s="151"/>
      <c r="F25" s="151"/>
      <c r="G25" s="151"/>
    </row>
    <row r="26" spans="1:16" s="115" customFormat="1" ht="33" x14ac:dyDescent="0.3">
      <c r="A26" s="111" t="s">
        <v>71</v>
      </c>
      <c r="B26" s="114">
        <f>COUNTIF($D$26:$AA$26, "Yes")</f>
        <v>0</v>
      </c>
      <c r="C26" s="111" t="s">
        <v>72</v>
      </c>
      <c r="D26" s="151"/>
      <c r="E26" s="151"/>
      <c r="F26" s="151"/>
      <c r="G26" s="151"/>
      <c r="H26" s="116"/>
      <c r="I26" s="116"/>
      <c r="J26" s="116"/>
      <c r="K26" s="116"/>
      <c r="L26" s="116"/>
      <c r="M26" s="116"/>
      <c r="N26" s="116"/>
      <c r="O26" s="116"/>
      <c r="P26" s="117"/>
    </row>
    <row r="27" spans="1:16" x14ac:dyDescent="0.3">
      <c r="A27" s="151"/>
      <c r="B27" s="151"/>
      <c r="C27" s="157"/>
      <c r="D27" s="157"/>
      <c r="E27" s="157"/>
      <c r="F27" s="157"/>
      <c r="G27" s="157"/>
    </row>
    <row r="28" spans="1:16" s="13" customFormat="1" thickBot="1" x14ac:dyDescent="0.25">
      <c r="A28" s="109"/>
      <c r="B28" s="109"/>
      <c r="C28" s="109" t="s">
        <v>73</v>
      </c>
      <c r="D28" s="109" t="s">
        <v>74</v>
      </c>
      <c r="E28" s="109" t="s">
        <v>74</v>
      </c>
      <c r="F28" s="109" t="s">
        <v>74</v>
      </c>
      <c r="G28" s="109" t="s">
        <v>74</v>
      </c>
    </row>
    <row r="29" spans="1:16" ht="17.25" thickTop="1" x14ac:dyDescent="0.3">
      <c r="A29" s="151"/>
      <c r="B29" s="151"/>
      <c r="C29" s="158" t="s">
        <v>75</v>
      </c>
      <c r="D29" s="151"/>
      <c r="E29" s="151"/>
      <c r="F29" s="151"/>
      <c r="G29" s="151"/>
    </row>
    <row r="30" spans="1:16" x14ac:dyDescent="0.3">
      <c r="A30" s="229" t="s">
        <v>76</v>
      </c>
      <c r="B30" s="151">
        <f>COUNTIF($D$30:$AA$30, "*")</f>
        <v>0</v>
      </c>
      <c r="C30" s="158" t="s">
        <v>77</v>
      </c>
      <c r="D30" s="151"/>
      <c r="E30" s="151"/>
      <c r="F30" s="151"/>
      <c r="G30" s="151"/>
    </row>
    <row r="31" spans="1:16" s="115" customFormat="1" ht="33" x14ac:dyDescent="0.3">
      <c r="A31" s="229"/>
      <c r="B31" s="114"/>
      <c r="C31" s="208" t="s">
        <v>80</v>
      </c>
      <c r="D31" s="151"/>
      <c r="E31" s="151"/>
      <c r="F31" s="151"/>
      <c r="G31" s="151"/>
    </row>
    <row r="32" spans="1:16" x14ac:dyDescent="0.3">
      <c r="A32" s="151"/>
      <c r="B32" s="151"/>
      <c r="C32" s="151"/>
      <c r="D32" s="151"/>
      <c r="E32" s="151"/>
      <c r="F32" s="151"/>
      <c r="G32" s="151"/>
    </row>
    <row r="33" spans="1:7" s="161" customFormat="1" ht="17.25" thickBot="1" x14ac:dyDescent="0.35">
      <c r="A33" s="203" t="s">
        <v>84</v>
      </c>
      <c r="B33" s="205">
        <f>SUM($D$33:$AA$33)</f>
        <v>0</v>
      </c>
      <c r="C33" s="159" t="s">
        <v>85</v>
      </c>
      <c r="D33" s="160"/>
      <c r="E33" s="160"/>
      <c r="F33" s="160"/>
      <c r="G33" s="160"/>
    </row>
    <row r="34" spans="1:7" s="156" customFormat="1" ht="17.25" thickTop="1" x14ac:dyDescent="0.3">
      <c r="A34" s="152" t="s">
        <v>86</v>
      </c>
      <c r="B34" s="206" t="e">
        <f>PRODUCT(B33/B11)</f>
        <v>#DIV/0!</v>
      </c>
      <c r="C34" s="162" t="s">
        <v>87</v>
      </c>
      <c r="D34" s="155" t="e">
        <f>(D33/$B$33)</f>
        <v>#DIV/0!</v>
      </c>
      <c r="E34" s="155" t="e">
        <f>(E33/$B$33)</f>
        <v>#DIV/0!</v>
      </c>
      <c r="F34" s="155" t="e">
        <f>(F33/$B$33)</f>
        <v>#DIV/0!</v>
      </c>
      <c r="G34" s="155"/>
    </row>
    <row r="35" spans="1:7" s="115" customFormat="1" ht="33" x14ac:dyDescent="0.3">
      <c r="A35" s="114"/>
      <c r="B35" s="114"/>
      <c r="C35" s="208" t="s">
        <v>88</v>
      </c>
      <c r="D35" s="151"/>
      <c r="E35" s="151"/>
      <c r="F35" s="151"/>
      <c r="G35" s="151"/>
    </row>
    <row r="36" spans="1:7" x14ac:dyDescent="0.3">
      <c r="A36" s="151"/>
      <c r="B36" s="151"/>
      <c r="C36" s="151"/>
      <c r="D36" s="86"/>
      <c r="E36" s="86"/>
      <c r="F36" s="86"/>
      <c r="G36" s="86"/>
    </row>
    <row r="37" spans="1:7" x14ac:dyDescent="0.3">
      <c r="A37" s="151"/>
      <c r="B37" s="151"/>
      <c r="C37" s="163"/>
      <c r="D37" s="163"/>
      <c r="E37" s="163"/>
      <c r="F37" s="163"/>
      <c r="G37" s="163"/>
    </row>
    <row r="38" spans="1:7" s="113" customFormat="1" ht="60" customHeight="1" x14ac:dyDescent="0.2">
      <c r="A38" s="112" t="s">
        <v>89</v>
      </c>
      <c r="B38" s="112" t="s">
        <v>90</v>
      </c>
      <c r="C38" s="112" t="s">
        <v>91</v>
      </c>
      <c r="D38" s="112" t="s">
        <v>92</v>
      </c>
      <c r="E38" s="112" t="s">
        <v>93</v>
      </c>
      <c r="F38" s="112" t="s">
        <v>94</v>
      </c>
      <c r="G38" s="112" t="s">
        <v>75</v>
      </c>
    </row>
    <row r="39" spans="1:7" x14ac:dyDescent="0.3">
      <c r="A39" s="152" t="str">
        <f>Jurisdictions!A4</f>
        <v>British Virgin Islands</v>
      </c>
      <c r="B39" s="151">
        <f>SUM($C$39:$G$39)</f>
        <v>0</v>
      </c>
      <c r="C39" s="151">
        <f>COUNTIF('Company, incl. Services'!$D$4:$AA$4, Jurisdictions!A4)</f>
        <v>0</v>
      </c>
      <c r="D39" s="151">
        <f>COUNTIF('Company, incl. Services'!$D$5:$AA$5, Jurisdictions!A4)</f>
        <v>0</v>
      </c>
      <c r="E39" s="151">
        <f>COUNTIF('Company, incl. Services'!$D$14:$AA$14, Jurisdictions!A4)</f>
        <v>0</v>
      </c>
      <c r="F39" s="151">
        <f>COUNTIF('Company, incl. Services'!$D$15:$AA$17, Jurisdictions!A4)</f>
        <v>0</v>
      </c>
      <c r="G39" s="151">
        <f>COUNTIF('Company, incl. Services'!$D$29:$AA$29, Jurisdictions!A4)</f>
        <v>0</v>
      </c>
    </row>
    <row r="40" spans="1:7" x14ac:dyDescent="0.3">
      <c r="A40" s="152" t="str">
        <f>Jurisdictions!A5</f>
        <v>Cayman Islands</v>
      </c>
      <c r="B40" s="151">
        <f t="shared" ref="B40:B54" si="0">SUM(C40:G40)</f>
        <v>0</v>
      </c>
      <c r="C40" s="151">
        <f>COUNTIF('Company, incl. Services'!$D$4:$AA$4, Jurisdictions!A5)</f>
        <v>0</v>
      </c>
      <c r="D40" s="151">
        <f>COUNTIF('Company, incl. Services'!$D$5:$AA$5, Jurisdictions!A5)</f>
        <v>0</v>
      </c>
      <c r="E40" s="151">
        <f>COUNTIF('Company, incl. Services'!$D$14:$AA$14, Jurisdictions!A5)</f>
        <v>0</v>
      </c>
      <c r="F40" s="151">
        <f>COUNTIF('Company, incl. Services'!$D$15:$AA$17, Jurisdictions!A5)</f>
        <v>0</v>
      </c>
      <c r="G40" s="151">
        <f>COUNTIF('Company, incl. Services'!$D$29:$AA$29, Jurisdictions!A5)</f>
        <v>0</v>
      </c>
    </row>
    <row r="41" spans="1:7" x14ac:dyDescent="0.3">
      <c r="A41" s="152" t="str">
        <f>Jurisdictions!A6</f>
        <v>Frances</v>
      </c>
      <c r="B41" s="151">
        <f t="shared" si="0"/>
        <v>0</v>
      </c>
      <c r="C41" s="151">
        <f>COUNTIF('Company, incl. Services'!$D$4:$AA$4, Jurisdictions!A6)</f>
        <v>0</v>
      </c>
      <c r="D41" s="151">
        <f>COUNTIF('Company, incl. Services'!$D$5:$AA$5, Jurisdictions!A6)</f>
        <v>0</v>
      </c>
      <c r="E41" s="151">
        <f>COUNTIF('Company, incl. Services'!$D$14:$AA$14, Jurisdictions!A6)</f>
        <v>0</v>
      </c>
      <c r="F41" s="151">
        <f>COUNTIF('Company, incl. Services'!$D$15:$AA$17, Jurisdictions!A6)</f>
        <v>0</v>
      </c>
      <c r="G41" s="151">
        <f>COUNTIF('Company, incl. Services'!$D$29:$AA$29, Jurisdictions!A6)</f>
        <v>0</v>
      </c>
    </row>
    <row r="42" spans="1:7" x14ac:dyDescent="0.3">
      <c r="A42" s="152" t="str">
        <f>Jurisdictions!A7</f>
        <v>Germany</v>
      </c>
      <c r="B42" s="151">
        <f t="shared" si="0"/>
        <v>0</v>
      </c>
      <c r="C42" s="151">
        <f>COUNTIF('Company, incl. Services'!$D$4:$AA$4, Jurisdictions!A7)</f>
        <v>0</v>
      </c>
      <c r="D42" s="151">
        <f>COUNTIF('Company, incl. Services'!$D$5:$AA$5, Jurisdictions!A7)</f>
        <v>0</v>
      </c>
      <c r="E42" s="151">
        <f>COUNTIF('Company, incl. Services'!$D$14:$AA$14, Jurisdictions!A7)</f>
        <v>0</v>
      </c>
      <c r="F42" s="151">
        <f>COUNTIF('Company, incl. Services'!$D$15:$AA$17, Jurisdictions!A7)</f>
        <v>0</v>
      </c>
      <c r="G42" s="151">
        <f>COUNTIF('Company, incl. Services'!$D$29:$AA$29, Jurisdictions!A7)</f>
        <v>0</v>
      </c>
    </row>
    <row r="43" spans="1:7" x14ac:dyDescent="0.3">
      <c r="A43" s="152" t="str">
        <f>Jurisdictions!A8</f>
        <v>Hong Kong</v>
      </c>
      <c r="B43" s="151">
        <f t="shared" si="0"/>
        <v>0</v>
      </c>
      <c r="C43" s="151">
        <f>COUNTIF('Company, incl. Services'!$D$4:$AA$4, Jurisdictions!A8)</f>
        <v>0</v>
      </c>
      <c r="D43" s="151">
        <f>COUNTIF('Company, incl. Services'!$D$5:$AA$5, Jurisdictions!A8)</f>
        <v>0</v>
      </c>
      <c r="E43" s="151">
        <f>COUNTIF('Company, incl. Services'!$D$14:$AA$14, Jurisdictions!A8)</f>
        <v>0</v>
      </c>
      <c r="F43" s="151">
        <f>COUNTIF('Company, incl. Services'!$D$15:$AA$17, Jurisdictions!A8)</f>
        <v>0</v>
      </c>
      <c r="G43" s="151">
        <f>COUNTIF('Company, incl. Services'!$D$29:$AA$29, Jurisdictions!A8)</f>
        <v>0</v>
      </c>
    </row>
    <row r="44" spans="1:7" x14ac:dyDescent="0.3">
      <c r="A44" s="152" t="str">
        <f>Jurisdictions!A9</f>
        <v>Indonesia</v>
      </c>
      <c r="B44" s="151">
        <f t="shared" si="0"/>
        <v>0</v>
      </c>
      <c r="C44" s="151">
        <f>COUNTIF('Company, incl. Services'!$D$4:$AA$4, Jurisdictions!A9)</f>
        <v>0</v>
      </c>
      <c r="D44" s="151">
        <f>COUNTIF('Company, incl. Services'!$D$5:$AA$5, Jurisdictions!A9)</f>
        <v>0</v>
      </c>
      <c r="E44" s="151">
        <f>COUNTIF('Company, incl. Services'!$D$14:$AA$14, Jurisdictions!A9)</f>
        <v>0</v>
      </c>
      <c r="F44" s="151">
        <f>COUNTIF('Company, incl. Services'!$D$15:$AA$17, Jurisdictions!A9)</f>
        <v>0</v>
      </c>
      <c r="G44" s="151">
        <f>COUNTIF('Company, incl. Services'!$D$29:$AA$29, Jurisdictions!A9)</f>
        <v>0</v>
      </c>
    </row>
    <row r="45" spans="1:7" x14ac:dyDescent="0.3">
      <c r="A45" s="152" t="str">
        <f>Jurisdictions!A10</f>
        <v>Japan</v>
      </c>
      <c r="B45" s="151">
        <f t="shared" si="0"/>
        <v>0</v>
      </c>
      <c r="C45" s="151">
        <f>COUNTIF('Company, incl. Services'!$D$4:$AA$4, Jurisdictions!A10)</f>
        <v>0</v>
      </c>
      <c r="D45" s="151">
        <f>COUNTIF('Company, incl. Services'!$D$5:$AA$5, Jurisdictions!A10)</f>
        <v>0</v>
      </c>
      <c r="E45" s="151">
        <f>COUNTIF('Company, incl. Services'!$D$14:$AA$14, Jurisdictions!A10)</f>
        <v>0</v>
      </c>
      <c r="F45" s="151">
        <f>COUNTIF('Company, incl. Services'!$D$15:$AA$17, Jurisdictions!A10)</f>
        <v>0</v>
      </c>
      <c r="G45" s="151">
        <f>COUNTIF('Company, incl. Services'!$D$29:$AA$29, Jurisdictions!A10)</f>
        <v>0</v>
      </c>
    </row>
    <row r="46" spans="1:7" x14ac:dyDescent="0.3">
      <c r="A46" s="152" t="str">
        <f>Jurisdictions!A11</f>
        <v>asdjhasd</v>
      </c>
      <c r="B46" s="151">
        <f t="shared" si="0"/>
        <v>0</v>
      </c>
      <c r="C46" s="151">
        <f>COUNTIF('Company, incl. Services'!$D$4:$AA$4, Jurisdictions!A11)</f>
        <v>0</v>
      </c>
      <c r="D46" s="151">
        <f>COUNTIF('Company, incl. Services'!$D$5:$AA$5, Jurisdictions!A11)</f>
        <v>0</v>
      </c>
      <c r="E46" s="151">
        <f>COUNTIF('Company, incl. Services'!$D$14:$AA$14, Jurisdictions!A11)</f>
        <v>0</v>
      </c>
      <c r="F46" s="151">
        <f>COUNTIF('Company, incl. Services'!$D$15:$AA$17, Jurisdictions!A11)</f>
        <v>0</v>
      </c>
      <c r="G46" s="151">
        <f>COUNTIF('Company, incl. Services'!$D$29:$AA$29, Jurisdictions!A11)</f>
        <v>0</v>
      </c>
    </row>
    <row r="47" spans="1:7" x14ac:dyDescent="0.3">
      <c r="A47" s="152" t="str">
        <f>Jurisdictions!A12</f>
        <v>Russia</v>
      </c>
      <c r="B47" s="151">
        <f t="shared" si="0"/>
        <v>0</v>
      </c>
      <c r="C47" s="151">
        <f>COUNTIF('Company, incl. Services'!$D$4:$AA$4, Jurisdictions!A12)</f>
        <v>0</v>
      </c>
      <c r="D47" s="151">
        <f>COUNTIF('Company, incl. Services'!$D$5:$AA$5, Jurisdictions!A12)</f>
        <v>0</v>
      </c>
      <c r="E47" s="151">
        <f>COUNTIF('Company, incl. Services'!$D$14:$AA$14, Jurisdictions!A12)</f>
        <v>0</v>
      </c>
      <c r="F47" s="151">
        <f>COUNTIF('Company, incl. Services'!$D$15:$AA$17, Jurisdictions!A12)</f>
        <v>0</v>
      </c>
      <c r="G47" s="151">
        <f>COUNTIF('Company, incl. Services'!$D$29:$AA$29, Jurisdictions!A12)</f>
        <v>0</v>
      </c>
    </row>
    <row r="48" spans="1:7" x14ac:dyDescent="0.3">
      <c r="A48" s="152" t="str">
        <f>Jurisdictions!A13</f>
        <v>Singapore</v>
      </c>
      <c r="B48" s="151">
        <f t="shared" si="0"/>
        <v>0</v>
      </c>
      <c r="C48" s="151">
        <f>COUNTIF('Company, incl. Services'!$D$4:$AA$4, Jurisdictions!A13)</f>
        <v>0</v>
      </c>
      <c r="D48" s="151">
        <f>COUNTIF('Company, incl. Services'!$D$5:$AA$5, Jurisdictions!A13)</f>
        <v>0</v>
      </c>
      <c r="E48" s="151">
        <f>COUNTIF('Company, incl. Services'!$D$14:$AA$14, Jurisdictions!A13)</f>
        <v>0</v>
      </c>
      <c r="F48" s="151">
        <f>COUNTIF('Company, incl. Services'!$D$15:$AA$17, Jurisdictions!A13)</f>
        <v>0</v>
      </c>
      <c r="G48" s="151">
        <f>COUNTIF('Company, incl. Services'!$D$29:$AA$29, Jurisdictions!A13)</f>
        <v>0</v>
      </c>
    </row>
    <row r="49" spans="1:7" x14ac:dyDescent="0.3">
      <c r="A49" s="152" t="str">
        <f>Jurisdictions!A14</f>
        <v>Switzerland</v>
      </c>
      <c r="B49" s="151">
        <f t="shared" si="0"/>
        <v>0</v>
      </c>
      <c r="C49" s="151">
        <f>COUNTIF('Company, incl. Services'!$D$4:$AA$4, Jurisdictions!A14)</f>
        <v>0</v>
      </c>
      <c r="D49" s="151">
        <f>COUNTIF('Company, incl. Services'!$D$5:$AA$5, Jurisdictions!A14)</f>
        <v>0</v>
      </c>
      <c r="E49" s="151">
        <f>COUNTIF('Company, incl. Services'!$D$14:$AA$14, Jurisdictions!A14)</f>
        <v>0</v>
      </c>
      <c r="F49" s="151">
        <f>COUNTIF('Company, incl. Services'!$D$15:$AA$17, Jurisdictions!A14)</f>
        <v>0</v>
      </c>
      <c r="G49" s="151">
        <f>COUNTIF('Company, incl. Services'!$D$29:$AA$29, Jurisdictions!A14)</f>
        <v>0</v>
      </c>
    </row>
    <row r="50" spans="1:7" x14ac:dyDescent="0.3">
      <c r="A50" s="152" t="str">
        <f>Jurisdictions!A15</f>
        <v>Taiwan</v>
      </c>
      <c r="B50" s="151">
        <f t="shared" si="0"/>
        <v>0</v>
      </c>
      <c r="C50" s="151">
        <f>COUNTIF('Company, incl. Services'!$D$4:$AA$4, Jurisdictions!A15)</f>
        <v>0</v>
      </c>
      <c r="D50" s="151">
        <f>COUNTIF('Company, incl. Services'!$D$5:$AA$5, Jurisdictions!A15)</f>
        <v>0</v>
      </c>
      <c r="E50" s="151">
        <f>COUNTIF('Company, incl. Services'!$D$14:$AA$14, Jurisdictions!A15)</f>
        <v>0</v>
      </c>
      <c r="F50" s="151">
        <f>COUNTIF('Company, incl. Services'!$D$15:$AA$17, Jurisdictions!A15)</f>
        <v>0</v>
      </c>
      <c r="G50" s="151">
        <f>COUNTIF('Company, incl. Services'!$D$29:$AA$29, Jurisdictions!A15)</f>
        <v>0</v>
      </c>
    </row>
    <row r="51" spans="1:7" x14ac:dyDescent="0.3">
      <c r="A51" s="152" t="str">
        <f>Jurisdictions!A16</f>
        <v>hhjjhj</v>
      </c>
      <c r="B51" s="151">
        <f t="shared" si="0"/>
        <v>0</v>
      </c>
      <c r="C51" s="151">
        <f>COUNTIF('Company, incl. Services'!$D$4:$AA$4, Jurisdictions!A16)</f>
        <v>0</v>
      </c>
      <c r="D51" s="151">
        <f>COUNTIF('Company, incl. Services'!$D$5:$AA$5, Jurisdictions!A16)</f>
        <v>0</v>
      </c>
      <c r="E51" s="151">
        <f>COUNTIF('Company, incl. Services'!$D$14:$AA$14, Jurisdictions!A16)</f>
        <v>0</v>
      </c>
      <c r="F51" s="151">
        <f>COUNTIF('Company, incl. Services'!$D$15:$AA$17, Jurisdictions!A16)</f>
        <v>0</v>
      </c>
      <c r="G51" s="151">
        <f>COUNTIF('Company, incl. Services'!$D$29:$AA$29, Jurisdictions!A16)</f>
        <v>0</v>
      </c>
    </row>
    <row r="52" spans="1:7" x14ac:dyDescent="0.3">
      <c r="A52" s="152" t="str">
        <f>Jurisdictions!A17</f>
        <v>United Arab Emirates</v>
      </c>
      <c r="B52" s="151">
        <f t="shared" si="0"/>
        <v>0</v>
      </c>
      <c r="C52" s="151">
        <f>COUNTIF('Company, incl. Services'!$D$4:$AA$4, Jurisdictions!A17)</f>
        <v>0</v>
      </c>
      <c r="D52" s="151">
        <f>COUNTIF('Company, incl. Services'!$D$5:$AA$5, Jurisdictions!A17)</f>
        <v>0</v>
      </c>
      <c r="E52" s="151">
        <f>COUNTIF('Company, incl. Services'!$D$14:$AA$14, Jurisdictions!A17)</f>
        <v>0</v>
      </c>
      <c r="F52" s="151">
        <f>COUNTIF('Company, incl. Services'!$D$15:$AA$17, Jurisdictions!A17)</f>
        <v>0</v>
      </c>
      <c r="G52" s="151">
        <f>COUNTIF('Company, incl. Services'!$D$29:$AA$29, Jurisdictions!A17)</f>
        <v>0</v>
      </c>
    </row>
    <row r="53" spans="1:7" x14ac:dyDescent="0.3">
      <c r="A53" s="152" t="str">
        <f>Jurisdictions!A18</f>
        <v>United Kingdom</v>
      </c>
      <c r="B53" s="151">
        <f t="shared" si="0"/>
        <v>0</v>
      </c>
      <c r="C53" s="151">
        <f>COUNTIF('Company, incl. Services'!$D$4:$AA$4, Jurisdictions!A18)</f>
        <v>0</v>
      </c>
      <c r="D53" s="151">
        <f>COUNTIF('Company, incl. Services'!$D$5:$AA$5, Jurisdictions!A18)</f>
        <v>0</v>
      </c>
      <c r="E53" s="151">
        <f>COUNTIF('Company, incl. Services'!$D$14:$AA$14, Jurisdictions!A18)</f>
        <v>0</v>
      </c>
      <c r="F53" s="151">
        <f>COUNTIF('Company, incl. Services'!$D$15:$AA$17, Jurisdictions!A18)</f>
        <v>0</v>
      </c>
      <c r="G53" s="151">
        <f>COUNTIF('Company, incl. Services'!$D$29:$AA$29, Jurisdictions!A18)</f>
        <v>0</v>
      </c>
    </row>
    <row r="54" spans="1:7" x14ac:dyDescent="0.3">
      <c r="A54" s="152" t="str">
        <f>Jurisdictions!A19</f>
        <v>United States</v>
      </c>
      <c r="B54" s="151">
        <f t="shared" si="0"/>
        <v>0</v>
      </c>
      <c r="C54" s="151">
        <f>COUNTIF('Company, incl. Services'!$D$4:$AA$4, Jurisdictions!A19)</f>
        <v>0</v>
      </c>
      <c r="D54" s="151">
        <f>COUNTIF('Company, incl. Services'!$D$5:$AA$5, Jurisdictions!A19)</f>
        <v>0</v>
      </c>
      <c r="E54" s="151">
        <f>COUNTIF('Company, incl. Services'!$D$14:$AA$14, Jurisdictions!A19)</f>
        <v>0</v>
      </c>
      <c r="F54" s="151">
        <f>COUNTIF('Company, incl. Services'!$D$15:$AA$17, Jurisdictions!A19)</f>
        <v>0</v>
      </c>
      <c r="G54" s="151">
        <f>COUNTIF('Company, incl. Services'!$D$29:$AA$29, Jurisdictions!A19)</f>
        <v>0</v>
      </c>
    </row>
    <row r="55" spans="1:7" x14ac:dyDescent="0.3">
      <c r="A55" s="216"/>
      <c r="E55" s="153"/>
      <c r="F55" s="153"/>
      <c r="G55" s="153"/>
    </row>
    <row r="56" spans="1:7" x14ac:dyDescent="0.3">
      <c r="A56" s="216"/>
      <c r="E56" s="153"/>
      <c r="F56" s="153"/>
      <c r="G56" s="153"/>
    </row>
    <row r="57" spans="1:7" x14ac:dyDescent="0.3">
      <c r="A57" s="216"/>
      <c r="E57" s="153"/>
      <c r="F57" s="153"/>
      <c r="G57" s="153"/>
    </row>
    <row r="58" spans="1:7" x14ac:dyDescent="0.3">
      <c r="A58" s="216"/>
      <c r="E58" s="153"/>
      <c r="F58" s="153"/>
      <c r="G58" s="153"/>
    </row>
    <row r="60" spans="1:7" s="166" customFormat="1" ht="29.25" customHeight="1" x14ac:dyDescent="0.3">
      <c r="A60" s="108" t="s">
        <v>95</v>
      </c>
      <c r="B60" s="108"/>
      <c r="C60" s="164"/>
      <c r="D60" s="165" t="s">
        <v>96</v>
      </c>
      <c r="E60" s="164"/>
    </row>
    <row r="61" spans="1:7" ht="17.25" x14ac:dyDescent="0.3">
      <c r="A61" s="110" t="str">
        <f>Support!A2</f>
        <v>Armament manufacturers, dealers and intermediaries.</v>
      </c>
      <c r="B61" s="88">
        <f>COUNTIF($D$30:$AA$31,Support!A2)</f>
        <v>0</v>
      </c>
      <c r="C61" s="151"/>
      <c r="D61" s="152" t="str">
        <f>D3</f>
        <v>HQ</v>
      </c>
      <c r="E61" s="151">
        <f>COUNTIF($D$35:$AA$35, D3)</f>
        <v>0</v>
      </c>
    </row>
    <row r="62" spans="1:7" ht="17.25" x14ac:dyDescent="0.3">
      <c r="A62" s="110" t="str">
        <f>Support!A3</f>
        <v>Art and antique dealers</v>
      </c>
      <c r="B62" s="88">
        <f>COUNTIF($D$30:$AA$31,Support!A3)</f>
        <v>0</v>
      </c>
      <c r="C62" s="151"/>
      <c r="D62" s="152" t="str">
        <f>E3</f>
        <v>Subsidary B</v>
      </c>
      <c r="E62" s="151">
        <f>COUNTIF($D$35:$AA$35, E3)</f>
        <v>0</v>
      </c>
    </row>
    <row r="63" spans="1:7" ht="17.25" x14ac:dyDescent="0.3">
      <c r="A63" s="110" t="str">
        <f>Support!A4</f>
        <v>Amusement Arcades</v>
      </c>
      <c r="B63" s="88">
        <f>COUNTIF($D$30:$AA$31,Support!A4)</f>
        <v>0</v>
      </c>
      <c r="C63" s="151"/>
      <c r="D63" s="152" t="str">
        <f>F3</f>
        <v>Subsidary C</v>
      </c>
      <c r="E63" s="151">
        <f>COUNTIF($D$35:$AA$35, F3)</f>
        <v>0</v>
      </c>
    </row>
    <row r="64" spans="1:7" ht="17.25" x14ac:dyDescent="0.3">
      <c r="A64" s="110" t="str">
        <f>Support!A5</f>
        <v>Auction houses</v>
      </c>
      <c r="B64" s="88">
        <f>COUNTIF($D$30:$AA$31,Support!A5)</f>
        <v>0</v>
      </c>
      <c r="C64" s="151"/>
      <c r="D64" s="152" t="str">
        <f>G3</f>
        <v>Subsidary D</v>
      </c>
      <c r="E64" s="151">
        <f>COUNTIF($D$35:$AA$35, G3)</f>
        <v>0</v>
      </c>
    </row>
    <row r="65" spans="1:5" ht="17.25" x14ac:dyDescent="0.3">
      <c r="A65" s="110" t="str">
        <f>Support!A6</f>
        <v>Beauty salons</v>
      </c>
      <c r="B65" s="88">
        <f>COUNTIF($D$30:$AA$31,Support!A6)</f>
        <v>0</v>
      </c>
      <c r="C65" s="151"/>
      <c r="D65" s="151"/>
      <c r="E65" s="151"/>
    </row>
    <row r="66" spans="1:5" ht="17.25" x14ac:dyDescent="0.3">
      <c r="A66" s="110" t="str">
        <f>Support!A7</f>
        <v>Biotechnology</v>
      </c>
      <c r="B66" s="88">
        <f>COUNTIF($D$30:$AA$31,Support!A7)</f>
        <v>0</v>
      </c>
      <c r="C66" s="151"/>
      <c r="D66" s="151"/>
      <c r="E66" s="151"/>
    </row>
    <row r="67" spans="1:5" ht="17.25" x14ac:dyDescent="0.3">
      <c r="A67" s="110" t="str">
        <f>Support!A8</f>
        <v>Brokers</v>
      </c>
      <c r="B67" s="88">
        <f>COUNTIF($D$30:$AA$31,Support!A8)</f>
        <v>0</v>
      </c>
      <c r="C67" s="151"/>
      <c r="D67" s="151"/>
      <c r="E67" s="151"/>
    </row>
    <row r="68" spans="1:5" ht="17.25" x14ac:dyDescent="0.3">
      <c r="A68" s="110" t="str">
        <f>Support!A9</f>
        <v>Card clubs</v>
      </c>
      <c r="B68" s="88">
        <f>COUNTIF($D$30:$AA$31,Support!A9)</f>
        <v>0</v>
      </c>
      <c r="C68" s="151"/>
      <c r="D68" s="151"/>
      <c r="E68" s="151"/>
    </row>
    <row r="69" spans="1:5" ht="17.25" x14ac:dyDescent="0.3">
      <c r="A69" s="110" t="str">
        <f>Support!A10</f>
        <v>Casinos (betting and other gambling related activities)</v>
      </c>
      <c r="B69" s="88">
        <f>COUNTIF($D$30:$AA$31,Support!A10)</f>
        <v>0</v>
      </c>
      <c r="C69" s="151"/>
      <c r="D69" s="151"/>
      <c r="E69" s="151"/>
    </row>
    <row r="70" spans="1:5" ht="17.25" x14ac:dyDescent="0.3">
      <c r="A70" s="110" t="str">
        <f>Support!A11</f>
        <v>Charities (especially, unregulated charities and other unregulated “not for profit” organisations).</v>
      </c>
      <c r="B70" s="88">
        <f>COUNTIF($D$30:$AA$31,Support!A11)</f>
        <v>0</v>
      </c>
      <c r="C70" s="151"/>
      <c r="D70" s="151"/>
      <c r="E70" s="151"/>
    </row>
    <row r="71" spans="1:5" ht="17.25" x14ac:dyDescent="0.3">
      <c r="A71" s="110" t="str">
        <f>Support!A12</f>
        <v>Check cashing</v>
      </c>
      <c r="B71" s="88">
        <f>COUNTIF($D$30:$AA$31,Support!A12)</f>
        <v>0</v>
      </c>
      <c r="C71" s="151"/>
      <c r="D71" s="151"/>
      <c r="E71" s="151"/>
    </row>
    <row r="72" spans="1:5" ht="17.25" x14ac:dyDescent="0.3">
      <c r="A72" s="110" t="str">
        <f>Support!A13</f>
        <v>Chemical agents &amp; Fertilizers</v>
      </c>
      <c r="B72" s="88">
        <f>COUNTIF($D$30:$AA$31,Support!A13)</f>
        <v>0</v>
      </c>
      <c r="C72" s="151"/>
      <c r="D72" s="151"/>
      <c r="E72" s="151"/>
    </row>
    <row r="73" spans="1:5" ht="17.25" x14ac:dyDescent="0.3">
      <c r="A73" s="110" t="str">
        <f>Support!A14</f>
        <v>Cigarette distributors</v>
      </c>
      <c r="B73" s="88">
        <f>COUNTIF($D$30:$AA$31,Support!A14)</f>
        <v>0</v>
      </c>
      <c r="C73" s="151"/>
      <c r="D73" s="151"/>
      <c r="E73" s="151"/>
    </row>
    <row r="74" spans="1:5" ht="17.25" x14ac:dyDescent="0.3">
      <c r="A74" s="110" t="str">
        <f>Support!A15</f>
        <v>Construction</v>
      </c>
      <c r="B74" s="88">
        <f>COUNTIF($D$30:$AA$31,Support!A15)</f>
        <v>0</v>
      </c>
      <c r="C74" s="151"/>
      <c r="D74" s="151"/>
      <c r="E74" s="151"/>
    </row>
    <row r="75" spans="1:5" ht="17.25" x14ac:dyDescent="0.3">
      <c r="A75" s="110" t="str">
        <f>Support!A16</f>
        <v>Convenience stores that sale traveler’s checks and/or money orders</v>
      </c>
      <c r="B75" s="88">
        <f>COUNTIF($D$30:$AA$31,Support!A16)</f>
        <v>0</v>
      </c>
      <c r="C75" s="151"/>
      <c r="D75" s="151"/>
      <c r="E75" s="151"/>
    </row>
    <row r="76" spans="1:5" ht="17.25" x14ac:dyDescent="0.3">
      <c r="A76" s="110" t="str">
        <f>Support!A17</f>
        <v>Corporate Service Providers ( Auditors and Corporate Secreterial Serices)</v>
      </c>
      <c r="B76" s="88">
        <f>COUNTIF($D$30:$AA$31,Support!A17)</f>
        <v>0</v>
      </c>
      <c r="C76" s="151"/>
      <c r="D76" s="151"/>
      <c r="E76" s="151"/>
    </row>
    <row r="77" spans="1:5" ht="17.25" x14ac:dyDescent="0.3">
      <c r="A77" s="110" t="str">
        <f>Support!A18</f>
        <v>Dealers in high value or precious goods (e.g metals, stones, or jewels)</v>
      </c>
      <c r="B77" s="88">
        <f>COUNTIF($D$30:$AA$31,Support!A18)</f>
        <v>0</v>
      </c>
      <c r="C77" s="151"/>
      <c r="D77" s="151"/>
      <c r="E77" s="151"/>
    </row>
    <row r="78" spans="1:5" ht="17.25" x14ac:dyDescent="0.3">
      <c r="A78" s="110" t="str">
        <f>Support!A19</f>
        <v>Dealers in endangered species</v>
      </c>
      <c r="B78" s="88">
        <f>COUNTIF($D$30:$AA$31,Support!A19)</f>
        <v>0</v>
      </c>
      <c r="C78" s="151"/>
      <c r="D78" s="151"/>
      <c r="E78" s="151"/>
    </row>
    <row r="79" spans="1:5" ht="17.25" x14ac:dyDescent="0.3">
      <c r="A79" s="110" t="str">
        <f>Support!A20</f>
        <v>Energy (including Oil &amp; Gas)</v>
      </c>
      <c r="B79" s="88">
        <f>COUNTIF($D$30:$AA$31,Support!A20)</f>
        <v>0</v>
      </c>
      <c r="C79" s="151"/>
      <c r="D79" s="151"/>
      <c r="E79" s="151"/>
    </row>
    <row r="80" spans="1:5" ht="17.25" x14ac:dyDescent="0.3">
      <c r="A80" s="110" t="str">
        <f>Support!A21</f>
        <v>Estate agents and Real estate brokers</v>
      </c>
      <c r="B80" s="88">
        <f>COUNTIF($D$30:$AA$31,Support!A21)</f>
        <v>0</v>
      </c>
      <c r="C80" s="151"/>
      <c r="D80" s="151"/>
      <c r="E80" s="151"/>
    </row>
    <row r="81" spans="1:5" ht="17.25" x14ac:dyDescent="0.3">
      <c r="A81" s="110" t="str">
        <f>Support!A22</f>
        <v>Financial Service Providers</v>
      </c>
      <c r="B81" s="88">
        <f>COUNTIF($D$30:$AA$31,Support!A22)</f>
        <v>0</v>
      </c>
      <c r="C81" s="151"/>
      <c r="D81" s="151"/>
      <c r="E81" s="151"/>
    </row>
    <row r="82" spans="1:5" ht="17.25" x14ac:dyDescent="0.3">
      <c r="A82" s="110" t="str">
        <f>Support!A23</f>
        <v>Hotels &amp; Motels</v>
      </c>
      <c r="B82" s="88">
        <f>COUNTIF($D$30:$AA$31,Support!A23)</f>
        <v>0</v>
      </c>
      <c r="C82" s="151"/>
      <c r="D82" s="151"/>
      <c r="E82" s="151"/>
    </row>
    <row r="83" spans="1:5" ht="17.25" x14ac:dyDescent="0.3">
      <c r="A83" s="110" t="str">
        <f>Support!A24</f>
        <v>Legal Services</v>
      </c>
      <c r="B83" s="88">
        <f>COUNTIF($D$30:$AA$31,Support!A24)</f>
        <v>0</v>
      </c>
      <c r="C83" s="151"/>
      <c r="D83" s="151"/>
      <c r="E83" s="151"/>
    </row>
    <row r="84" spans="1:5" ht="17.25" x14ac:dyDescent="0.3">
      <c r="A84" s="110" t="str">
        <f>Support!A25</f>
        <v>Liquor stores</v>
      </c>
      <c r="B84" s="88">
        <f>COUNTIF($D$30:$AA$31,Support!A25)</f>
        <v>0</v>
      </c>
      <c r="C84" s="151"/>
      <c r="D84" s="151"/>
      <c r="E84" s="151"/>
    </row>
    <row r="85" spans="1:5" ht="17.25" x14ac:dyDescent="0.3">
      <c r="A85" s="110" t="str">
        <f>Support!A26</f>
        <v>Money lenders</v>
      </c>
      <c r="B85" s="88">
        <f>COUNTIF($D$30:$AA$31,Support!A26)</f>
        <v>0</v>
      </c>
      <c r="C85" s="151"/>
      <c r="D85" s="151"/>
      <c r="E85" s="151"/>
    </row>
    <row r="86" spans="1:5" ht="17.25" x14ac:dyDescent="0.3">
      <c r="A86" s="110" t="str">
        <f>Support!A27</f>
        <v>Money services businesses (remittance houses, exchange houses, casas de cambio, bureaux de change, money transfer agents and bank note traders)</v>
      </c>
      <c r="B86" s="88">
        <f>COUNTIF($D$30:$AA$31,Support!A27)</f>
        <v>0</v>
      </c>
      <c r="C86" s="151"/>
      <c r="D86" s="151"/>
      <c r="E86" s="151"/>
    </row>
    <row r="87" spans="1:5" ht="17.25" x14ac:dyDescent="0.3">
      <c r="A87" s="110" t="str">
        <f>Support!A28</f>
        <v>Movie theaters</v>
      </c>
      <c r="B87" s="88">
        <f>COUNTIF($D$30:$AA$31,Support!A28)</f>
        <v>0</v>
      </c>
      <c r="C87" s="151"/>
      <c r="D87" s="151"/>
      <c r="E87" s="151"/>
    </row>
    <row r="88" spans="1:5" ht="17.25" x14ac:dyDescent="0.3">
      <c r="A88" s="110" t="str">
        <f>Support!A29</f>
        <v>Nuclear/radioactive materials</v>
      </c>
      <c r="B88" s="88">
        <f>COUNTIF($D$30:$AA$31,Support!A29)</f>
        <v>0</v>
      </c>
      <c r="C88" s="151"/>
      <c r="D88" s="151"/>
      <c r="E88" s="151"/>
    </row>
    <row r="89" spans="1:5" ht="17.25" x14ac:dyDescent="0.3">
      <c r="A89" s="110" t="str">
        <f>Support!A30</f>
        <v>Parking garages</v>
      </c>
      <c r="B89" s="88">
        <f>COUNTIF($D$30:$AA$31,Support!A30)</f>
        <v>0</v>
      </c>
      <c r="C89" s="151"/>
      <c r="D89" s="151"/>
      <c r="E89" s="151"/>
    </row>
    <row r="90" spans="1:5" ht="17.25" x14ac:dyDescent="0.3">
      <c r="A90" s="110" t="str">
        <f>Support!A31</f>
        <v>PawnBrokers</v>
      </c>
      <c r="B90" s="88">
        <f>COUNTIF($D$30:$AA$31,Support!A31)</f>
        <v>0</v>
      </c>
      <c r="C90" s="151"/>
      <c r="D90" s="151"/>
      <c r="E90" s="151"/>
    </row>
    <row r="91" spans="1:5" ht="17.25" x14ac:dyDescent="0.3">
      <c r="A91" s="110" t="str">
        <f>Support!A32</f>
        <v>Ponzi schemes</v>
      </c>
      <c r="B91" s="88">
        <f>COUNTIF($D$30:$AA$31,Support!A32)</f>
        <v>0</v>
      </c>
      <c r="C91" s="151"/>
      <c r="D91" s="151"/>
      <c r="E91" s="151"/>
    </row>
    <row r="92" spans="1:5" ht="17.25" x14ac:dyDescent="0.3">
      <c r="A92" s="110" t="str">
        <f>Support!A33</f>
        <v>Pornography, Prostitution &amp; Escort agencies</v>
      </c>
      <c r="B92" s="88">
        <f>COUNTIF($D$30:$AA$31,Support!A33)</f>
        <v>0</v>
      </c>
      <c r="C92" s="151"/>
      <c r="D92" s="151"/>
      <c r="E92" s="151"/>
    </row>
    <row r="93" spans="1:5" ht="17.25" x14ac:dyDescent="0.3">
      <c r="A93" s="110" t="str">
        <f>Support!A34</f>
        <v>Privately owned ATMs</v>
      </c>
      <c r="B93" s="88">
        <f>COUNTIF($D$30:$AA$31,Support!A34)</f>
        <v>0</v>
      </c>
      <c r="C93" s="151"/>
      <c r="D93" s="151"/>
      <c r="E93" s="151"/>
    </row>
    <row r="94" spans="1:5" ht="17.25" x14ac:dyDescent="0.3">
      <c r="A94" s="110" t="str">
        <f>Support!A35</f>
        <v>Raw materials (eg. Extraction, Mining, etc..)</v>
      </c>
      <c r="B94" s="88">
        <f>COUNTIF($D$30:$AA$31,Support!A35)</f>
        <v>0</v>
      </c>
      <c r="C94" s="151"/>
      <c r="D94" s="151"/>
      <c r="E94" s="151"/>
    </row>
    <row r="95" spans="1:5" ht="17.25" x14ac:dyDescent="0.3">
      <c r="A95" s="110" t="str">
        <f>Support!A36</f>
        <v>Retail stores</v>
      </c>
      <c r="B95" s="88">
        <f>COUNTIF($D$30:$AA$31,Support!A36)</f>
        <v>0</v>
      </c>
      <c r="C95" s="151"/>
      <c r="D95" s="151"/>
      <c r="E95" s="151"/>
    </row>
    <row r="96" spans="1:5" ht="17.25" x14ac:dyDescent="0.3">
      <c r="A96" s="110" t="str">
        <f>Support!A37</f>
        <v>Restaurants &amp; Pubs</v>
      </c>
      <c r="B96" s="88">
        <f>COUNTIF($D$30:$AA$31,Support!A37)</f>
        <v>0</v>
      </c>
      <c r="C96" s="151"/>
      <c r="D96" s="151"/>
      <c r="E96" s="151"/>
    </row>
    <row r="97" spans="1:5" ht="17.25" x14ac:dyDescent="0.3">
      <c r="A97" s="110" t="str">
        <f>Support!A38</f>
        <v>Serviced apartment house operator</v>
      </c>
      <c r="B97" s="88">
        <f>COUNTIF($D$30:$AA$31,Support!A38)</f>
        <v>0</v>
      </c>
      <c r="C97" s="151"/>
      <c r="D97" s="151"/>
      <c r="E97" s="151"/>
    </row>
    <row r="98" spans="1:5" ht="17.25" x14ac:dyDescent="0.3">
      <c r="A98" s="110" t="str">
        <f>Support!A39</f>
        <v>Taxi firms,</v>
      </c>
      <c r="B98" s="88">
        <f>COUNTIF($D$30:$AA$31,Support!A39)</f>
        <v>0</v>
      </c>
      <c r="C98" s="151"/>
      <c r="D98" s="151"/>
      <c r="E98" s="151"/>
    </row>
    <row r="99" spans="1:5" ht="17.25" x14ac:dyDescent="0.3">
      <c r="A99" s="110" t="str">
        <f>Support!A40</f>
        <v>Used car or motorcycle dealers that finance their own sales</v>
      </c>
      <c r="B99" s="88">
        <f>COUNTIF($D$30:$AA$31,Support!A40)</f>
        <v>0</v>
      </c>
      <c r="C99" s="151"/>
      <c r="D99" s="151"/>
      <c r="E99" s="151"/>
    </row>
    <row r="100" spans="1:5" ht="17.25" x14ac:dyDescent="0.3">
      <c r="A100" s="110" t="str">
        <f>Support!A41</f>
        <v>Used boat dealers that finance their own sales</v>
      </c>
      <c r="B100" s="88">
        <f>COUNTIF($D$30:$AA$31,Support!A41)</f>
        <v>0</v>
      </c>
      <c r="C100" s="151"/>
      <c r="D100" s="151"/>
      <c r="E100" s="151"/>
    </row>
    <row r="101" spans="1:5" ht="17.25" x14ac:dyDescent="0.3">
      <c r="A101" s="110" t="str">
        <f>Support!A42</f>
        <v>Vending machine operators</v>
      </c>
      <c r="B101" s="88">
        <f>COUNTIF($D$30:$AA$31,Support!A42)</f>
        <v>0</v>
      </c>
      <c r="C101" s="151"/>
      <c r="D101" s="151"/>
      <c r="E101" s="151"/>
    </row>
    <row r="102" spans="1:5" ht="17.25" x14ac:dyDescent="0.3">
      <c r="A102" s="110" t="str">
        <f>Support!A43</f>
        <v>Others (businesses that may be cash intensive or generate substantial cash for certain transactions)</v>
      </c>
      <c r="B102" s="88">
        <f>COUNTIF($D$30:$AA$31,Support!A43)</f>
        <v>0</v>
      </c>
      <c r="C102" s="151"/>
      <c r="D102" s="151"/>
      <c r="E102" s="151"/>
    </row>
  </sheetData>
  <mergeCells count="2">
    <mergeCell ref="A1:C1"/>
    <mergeCell ref="A30:A31"/>
  </mergeCells>
  <conditionalFormatting sqref="H12:AA12">
    <cfRule type="colorScale" priority="1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9:AA9">
    <cfRule type="colorScale" priority="1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0:AA10">
    <cfRule type="colorScale" priority="1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9:AA19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0">
    <cfRule type="notContainsBlanks" dxfId="35" priority="103">
      <formula>LEN(TRIM(B30))&gt;0</formula>
    </cfRule>
  </conditionalFormatting>
  <conditionalFormatting sqref="E39:E58">
    <cfRule type="colorScale" priority="1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9:F58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:G58">
    <cfRule type="colorScale" priority="1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9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:B17">
    <cfRule type="colorScale" priority="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9:B58">
    <cfRule type="colorScale" priority="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0:C58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3:AA23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2:AA22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1:C21 H21:XFD21">
    <cfRule type="colorScale" priority="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0:AA20">
    <cfRule type="colorScale" priority="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1:B102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9:C58">
    <cfRule type="colorScale" priority="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61:E64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0:C10 H10:XFD10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2:C12 H12:XFD12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1:ZZ11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1:C21 H21:XFD21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3:C23 H23:XFD23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3:ZZ33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34:ZZ34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5:B26">
    <cfRule type="cellIs" dxfId="34" priority="35" operator="greaterThan">
      <formula>0</formula>
    </cfRule>
  </conditionalFormatting>
  <conditionalFormatting sqref="A25:C26 H25:XFD26">
    <cfRule type="containsText" dxfId="33" priority="34" operator="containsText" text="Yes">
      <formula>NOT(ISERROR(SEARCH("Yes",A25)))</formula>
    </cfRule>
  </conditionalFormatting>
  <conditionalFormatting sqref="D39:D58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3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2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0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3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1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2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0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0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3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2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1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9:F9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:G1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:G1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1:G1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9:F1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0:F20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2:F2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1:G2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3:G2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3:G3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4:G3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5:G26">
    <cfRule type="containsText" dxfId="32" priority="1" operator="containsText" text="Yes">
      <formula>NOT(ISERROR(SEARCH("Yes",D25)))</formula>
    </cfRule>
  </conditionalFormatting>
  <dataValidations count="5">
    <dataValidation type="list" allowBlank="1" showInputMessage="1" showErrorMessage="1" sqref="A14:A17 D6:G7">
      <formula1>mgtclass</formula1>
    </dataValidation>
    <dataValidation type="list" allowBlank="1" showInputMessage="1" showErrorMessage="1" sqref="D65:D66 D35:G35">
      <formula1>Listofcos</formula1>
    </dataValidation>
    <dataValidation type="list" allowBlank="1" showInputMessage="1" showErrorMessage="1" sqref="D25:G26">
      <formula1>yesno</formula1>
    </dataValidation>
    <dataValidation type="list" allowBlank="1" showInputMessage="1" showErrorMessage="1" sqref="D30:G31">
      <formula1>sensetiveid</formula1>
    </dataValidation>
    <dataValidation type="list" allowBlank="1" showInputMessage="1" showErrorMessage="1" sqref="D4:G5 D14:G17 D29:G29">
      <formula1>countrylist</formula1>
    </dataValidation>
  </dataValidations>
  <pageMargins left="0.7" right="0.7" top="0.75" bottom="0.75" header="0.3" footer="0.3"/>
  <pageSetup paperSize="9" orientation="portrait" r:id="rId1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98"/>
  <sheetViews>
    <sheetView topLeftCell="A4" zoomScale="70" zoomScaleNormal="70" workbookViewId="0">
      <selection activeCell="A19" sqref="A19"/>
    </sheetView>
  </sheetViews>
  <sheetFormatPr defaultColWidth="9" defaultRowHeight="17.25" x14ac:dyDescent="0.3"/>
  <cols>
    <col min="1" max="1" width="49.25" style="15" customWidth="1"/>
    <col min="2" max="2" width="22.75" style="16" customWidth="1"/>
    <col min="3" max="3" width="41.25" style="15" customWidth="1"/>
    <col min="4" max="5" width="25.5" style="15" customWidth="1"/>
    <col min="6" max="6" width="21" style="30" customWidth="1"/>
    <col min="7" max="7" width="16.125" style="15" customWidth="1"/>
    <col min="8" max="8" width="15.5" style="15" customWidth="1"/>
    <col min="9" max="9" width="15.625" style="15" customWidth="1"/>
    <col min="10" max="10" width="16" style="15" customWidth="1"/>
    <col min="11" max="11" width="17" style="16" customWidth="1"/>
    <col min="12" max="12" width="14.25" style="16" customWidth="1"/>
    <col min="13" max="13" width="13.875" style="16" customWidth="1"/>
    <col min="14" max="14" width="13" style="16" customWidth="1"/>
    <col min="15" max="15" width="14.75" style="16" customWidth="1"/>
    <col min="16" max="23" width="17.5" style="16" customWidth="1"/>
    <col min="24" max="24" width="21.25" style="16" customWidth="1"/>
    <col min="25" max="169" width="17.5" style="16" customWidth="1"/>
    <col min="170" max="16384" width="9" style="16"/>
  </cols>
  <sheetData>
    <row r="1" spans="1:29" ht="45.75" customHeight="1" thickBot="1" x14ac:dyDescent="0.4">
      <c r="A1" s="232" t="s">
        <v>97</v>
      </c>
      <c r="B1" s="232"/>
      <c r="C1" s="232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18" thickTop="1" x14ac:dyDescent="0.3">
      <c r="A2" s="190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s="76" customFormat="1" ht="28.5" customHeight="1" x14ac:dyDescent="0.2">
      <c r="A3" s="191" t="s">
        <v>98</v>
      </c>
      <c r="C3" s="180" t="s">
        <v>99</v>
      </c>
      <c r="D3" s="76" t="s">
        <v>100</v>
      </c>
      <c r="E3" s="76" t="s">
        <v>101</v>
      </c>
      <c r="F3" s="76" t="s">
        <v>102</v>
      </c>
    </row>
    <row r="4" spans="1:29" ht="18" customHeight="1" x14ac:dyDescent="0.3">
      <c r="A4" s="192" t="s">
        <v>103</v>
      </c>
      <c r="B4" s="77">
        <f>COUNTIF($D$3:ZZ$3, "*")</f>
        <v>3</v>
      </c>
      <c r="C4" s="181" t="s">
        <v>40</v>
      </c>
      <c r="D4" s="77"/>
      <c r="E4" s="77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">
      <c r="A5" s="193" t="s">
        <v>104</v>
      </c>
      <c r="B5" s="30">
        <f>COUNTIF(D7:ZZ7, Support!A84)</f>
        <v>0</v>
      </c>
      <c r="C5" s="182" t="s">
        <v>105</v>
      </c>
      <c r="D5" s="30"/>
      <c r="E5" s="30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 spans="1:29" x14ac:dyDescent="0.3">
      <c r="A6" s="193" t="s">
        <v>106</v>
      </c>
      <c r="B6" s="73">
        <f>(B5/B4)</f>
        <v>0</v>
      </c>
      <c r="C6" s="182" t="s">
        <v>107</v>
      </c>
      <c r="D6" s="30"/>
      <c r="E6" s="30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1:29" x14ac:dyDescent="0.3">
      <c r="A7" s="194"/>
      <c r="C7" s="182" t="s">
        <v>108</v>
      </c>
      <c r="D7" s="30"/>
      <c r="E7" s="30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</row>
    <row r="8" spans="1:29" ht="34.5" x14ac:dyDescent="0.3">
      <c r="A8" s="193" t="s">
        <v>111</v>
      </c>
      <c r="B8" s="30">
        <f>SUM($D$8:$ZZ$8)</f>
        <v>0</v>
      </c>
      <c r="C8" s="183" t="s">
        <v>112</v>
      </c>
      <c r="D8" s="30"/>
      <c r="E8" s="30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</row>
    <row r="9" spans="1:29" s="22" customFormat="1" ht="18" thickBot="1" x14ac:dyDescent="0.35">
      <c r="A9" s="195" t="s">
        <v>113</v>
      </c>
      <c r="B9" s="37">
        <f>SUM(D9:Z9)</f>
        <v>0</v>
      </c>
      <c r="C9" s="178" t="s">
        <v>114</v>
      </c>
      <c r="D9" s="31"/>
      <c r="E9" s="31"/>
      <c r="F9" s="31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s="22" customFormat="1" ht="18.75" thickTop="1" thickBot="1" x14ac:dyDescent="0.35">
      <c r="A10" s="195" t="s">
        <v>115</v>
      </c>
      <c r="B10" s="37">
        <f>SUM(D10:Z10)</f>
        <v>0</v>
      </c>
      <c r="C10" s="178" t="s">
        <v>116</v>
      </c>
      <c r="D10" s="31"/>
      <c r="E10" s="31"/>
      <c r="F10" s="31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s="18" customFormat="1" ht="18" thickTop="1" x14ac:dyDescent="0.3">
      <c r="A11" s="196"/>
      <c r="B11" s="32"/>
      <c r="C11" s="179" t="s">
        <v>117</v>
      </c>
      <c r="D11" s="32" t="e">
        <f t="shared" ref="D11:F11" si="0">D10/$B$10</f>
        <v>#DIV/0!</v>
      </c>
      <c r="E11" s="32" t="e">
        <f t="shared" si="0"/>
        <v>#DIV/0!</v>
      </c>
      <c r="F11" s="32" t="e">
        <f t="shared" si="0"/>
        <v>#DIV/0!</v>
      </c>
      <c r="G11" s="17" t="e">
        <f t="shared" ref="G11:R11" si="1">G10/$B$10</f>
        <v>#DIV/0!</v>
      </c>
      <c r="H11" s="17" t="e">
        <f t="shared" si="1"/>
        <v>#DIV/0!</v>
      </c>
      <c r="I11" s="17" t="e">
        <f t="shared" si="1"/>
        <v>#DIV/0!</v>
      </c>
      <c r="J11" s="17" t="e">
        <f t="shared" si="1"/>
        <v>#DIV/0!</v>
      </c>
      <c r="K11" s="17" t="e">
        <f t="shared" si="1"/>
        <v>#DIV/0!</v>
      </c>
      <c r="L11" s="17" t="e">
        <f t="shared" si="1"/>
        <v>#DIV/0!</v>
      </c>
      <c r="M11" s="17" t="e">
        <f t="shared" si="1"/>
        <v>#DIV/0!</v>
      </c>
      <c r="N11" s="17" t="e">
        <f t="shared" si="1"/>
        <v>#DIV/0!</v>
      </c>
      <c r="O11" s="17" t="e">
        <f t="shared" si="1"/>
        <v>#DIV/0!</v>
      </c>
      <c r="P11" s="17" t="e">
        <f t="shared" si="1"/>
        <v>#DIV/0!</v>
      </c>
      <c r="Q11" s="17" t="e">
        <f t="shared" si="1"/>
        <v>#DIV/0!</v>
      </c>
      <c r="R11" s="17" t="e">
        <f t="shared" si="1"/>
        <v>#DIV/0!</v>
      </c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29" s="20" customFormat="1" x14ac:dyDescent="0.3">
      <c r="A12" s="197"/>
      <c r="B12" s="74"/>
      <c r="C12" s="184" t="s">
        <v>118</v>
      </c>
      <c r="D12" s="19"/>
      <c r="E12" s="19"/>
      <c r="F12" s="93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</row>
    <row r="13" spans="1:29" x14ac:dyDescent="0.3">
      <c r="A13" s="193" t="s">
        <v>119</v>
      </c>
      <c r="B13" s="91">
        <f>SUM(COUNTIF($D$13:$J$13,Support!A46),COUNTIF($D$13:$J$13,Support!A55))</f>
        <v>0</v>
      </c>
      <c r="C13" s="185" t="s">
        <v>120</v>
      </c>
      <c r="D13" s="30"/>
      <c r="E13" s="30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</row>
    <row r="14" spans="1:29" x14ac:dyDescent="0.3">
      <c r="A14" s="193" t="s">
        <v>124</v>
      </c>
      <c r="B14" s="91">
        <f>COUNTIF($D$14:$ZZ$14, "*")</f>
        <v>0</v>
      </c>
      <c r="C14" s="185" t="s">
        <v>125</v>
      </c>
      <c r="D14" s="30"/>
      <c r="E14" s="30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</row>
    <row r="15" spans="1:29" x14ac:dyDescent="0.3">
      <c r="A15" s="193" t="s">
        <v>2</v>
      </c>
      <c r="B15" s="92" t="e">
        <f>PRODUCT(B14/SUM(B13:B14))</f>
        <v>#DIV/0!</v>
      </c>
      <c r="C15" s="185" t="s">
        <v>126</v>
      </c>
      <c r="D15" s="30"/>
      <c r="E15" s="30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</row>
    <row r="16" spans="1:29" x14ac:dyDescent="0.3">
      <c r="A16" s="193" t="s">
        <v>127</v>
      </c>
      <c r="B16" s="91">
        <f>COUNTIF($D$13:$J$16,"Unlimited Company")</f>
        <v>0</v>
      </c>
      <c r="C16" s="185" t="s">
        <v>128</v>
      </c>
      <c r="D16" s="30"/>
      <c r="E16" s="30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</row>
    <row r="17" spans="1:29" x14ac:dyDescent="0.3">
      <c r="A17" s="193" t="s">
        <v>129</v>
      </c>
      <c r="B17" s="91">
        <f>COUNTIF($D$13:$J$16,"Unlimited Partnership")</f>
        <v>0</v>
      </c>
      <c r="C17" s="185" t="s">
        <v>130</v>
      </c>
      <c r="D17" s="30"/>
      <c r="E17" s="30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</row>
    <row r="18" spans="1:29" x14ac:dyDescent="0.3">
      <c r="A18" s="193" t="s">
        <v>131</v>
      </c>
      <c r="B18" s="91">
        <f>COUNTIF($D$13:$J$17,"Limited Partnership")</f>
        <v>0</v>
      </c>
      <c r="C18" s="186"/>
      <c r="D18" s="30"/>
      <c r="E18" s="30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</row>
    <row r="19" spans="1:29" x14ac:dyDescent="0.3">
      <c r="A19" s="193" t="s">
        <v>285</v>
      </c>
      <c r="B19" s="91">
        <f>COUNTIF($D$13:$J$16,"Private Limited  Company")</f>
        <v>0</v>
      </c>
      <c r="C19" s="185" t="s">
        <v>132</v>
      </c>
      <c r="D19" s="30"/>
      <c r="E19" s="30"/>
      <c r="K19" s="15"/>
      <c r="L19" s="15"/>
      <c r="M19" s="15"/>
      <c r="N19" s="15"/>
      <c r="O19" s="15"/>
      <c r="P19" s="15"/>
      <c r="Q19" s="15"/>
      <c r="R19" s="15"/>
    </row>
    <row r="20" spans="1:29" x14ac:dyDescent="0.3">
      <c r="A20" s="193" t="s">
        <v>133</v>
      </c>
      <c r="B20" s="91">
        <f>COUNTIF($D$13:$J$16,"Trust")</f>
        <v>0</v>
      </c>
      <c r="C20" s="185" t="s">
        <v>134</v>
      </c>
      <c r="D20" s="30"/>
      <c r="E20" s="30"/>
      <c r="K20" s="15"/>
      <c r="L20" s="15"/>
      <c r="M20" s="15"/>
      <c r="N20" s="15"/>
      <c r="O20" s="15"/>
      <c r="P20" s="15"/>
      <c r="Q20" s="15"/>
      <c r="R20" s="15"/>
    </row>
    <row r="21" spans="1:29" x14ac:dyDescent="0.3">
      <c r="A21" s="193" t="s">
        <v>135</v>
      </c>
      <c r="B21" s="91">
        <f>COUNTIF($D$13:$J$16,"Nominee")</f>
        <v>0</v>
      </c>
      <c r="C21" s="185" t="s">
        <v>136</v>
      </c>
      <c r="D21" s="30"/>
      <c r="E21" s="30"/>
      <c r="K21" s="15"/>
      <c r="L21" s="15"/>
      <c r="M21" s="15"/>
      <c r="N21" s="15"/>
      <c r="O21" s="15"/>
      <c r="P21" s="15"/>
      <c r="Q21" s="15"/>
      <c r="R21" s="15"/>
    </row>
    <row r="22" spans="1:29" x14ac:dyDescent="0.3">
      <c r="A22" s="193" t="s">
        <v>137</v>
      </c>
      <c r="B22" s="91">
        <f>COUNTIF($D$13:$J$16,"Joint-Account Holders")</f>
        <v>0</v>
      </c>
      <c r="C22" s="185" t="s">
        <v>138</v>
      </c>
      <c r="D22" s="30"/>
      <c r="E22" s="30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</row>
    <row r="23" spans="1:29" x14ac:dyDescent="0.3">
      <c r="A23" s="193" t="s">
        <v>139</v>
      </c>
      <c r="B23" s="91">
        <f>COUNTIF(D19:ZZ19, "*")</f>
        <v>0</v>
      </c>
      <c r="C23" s="185" t="s">
        <v>140</v>
      </c>
      <c r="D23" s="30"/>
      <c r="E23" s="30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</row>
    <row r="24" spans="1:29" x14ac:dyDescent="0.3">
      <c r="A24" s="193" t="s">
        <v>141</v>
      </c>
      <c r="B24" s="91">
        <f>COUNTIF(D24:ZY24, "yes")</f>
        <v>0</v>
      </c>
      <c r="C24" s="185" t="s">
        <v>142</v>
      </c>
      <c r="D24" s="30"/>
      <c r="E24" s="30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x14ac:dyDescent="0.3">
      <c r="A25" s="193" t="s">
        <v>143</v>
      </c>
      <c r="B25" s="92" t="e">
        <f>PRODUCT((COUNTIF(D24:ZZ24,"Yes")/(COUNTIF(D19:ZZ19,"*"))))</f>
        <v>#DIV/0!</v>
      </c>
      <c r="C25" s="186"/>
      <c r="D25" s="30"/>
      <c r="E25" s="30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</row>
    <row r="26" spans="1:29" x14ac:dyDescent="0.3">
      <c r="A26" s="196"/>
      <c r="B26" s="30"/>
      <c r="C26" s="186"/>
      <c r="D26" s="30"/>
      <c r="E26" s="30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ht="34.5" x14ac:dyDescent="0.3">
      <c r="A27" s="193" t="s">
        <v>144</v>
      </c>
      <c r="B27" s="30">
        <f>COUNTIF($D$27:$AA$27, "Yes")</f>
        <v>0</v>
      </c>
      <c r="C27" s="187" t="s">
        <v>145</v>
      </c>
      <c r="D27" s="30"/>
      <c r="E27" s="30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</row>
    <row r="28" spans="1:29" ht="34.5" x14ac:dyDescent="0.3">
      <c r="A28" s="193" t="s">
        <v>146</v>
      </c>
      <c r="B28" s="30">
        <f>COUNTIF($D$28:$AA$28, "Yes")</f>
        <v>0</v>
      </c>
      <c r="C28" s="187" t="s">
        <v>147</v>
      </c>
      <c r="D28" s="30"/>
      <c r="E28" s="30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</row>
    <row r="29" spans="1:29" x14ac:dyDescent="0.3">
      <c r="A29" s="196"/>
      <c r="B29" s="30"/>
      <c r="C29" s="186"/>
      <c r="D29" s="30"/>
      <c r="E29" s="30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</row>
    <row r="30" spans="1:29" x14ac:dyDescent="0.3">
      <c r="A30" s="198" t="s">
        <v>148</v>
      </c>
      <c r="B30" s="30">
        <f>COUNTIF($D$30:$AA$30,"yes")</f>
        <v>0</v>
      </c>
      <c r="C30" s="188" t="s">
        <v>149</v>
      </c>
      <c r="D30" s="30"/>
      <c r="E30" s="30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</row>
    <row r="31" spans="1:29" x14ac:dyDescent="0.3">
      <c r="A31" s="198" t="s">
        <v>150</v>
      </c>
      <c r="B31" s="30">
        <f>COUNTIF($D$31:$AA$31,"yes")</f>
        <v>0</v>
      </c>
      <c r="C31" s="188" t="s">
        <v>151</v>
      </c>
      <c r="D31" s="30"/>
      <c r="E31" s="30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x14ac:dyDescent="0.3">
      <c r="A32" s="198" t="s">
        <v>152</v>
      </c>
      <c r="B32" s="30">
        <f>COUNTIF($D$32:$AA$32,"yes")</f>
        <v>0</v>
      </c>
      <c r="C32" s="188" t="s">
        <v>153</v>
      </c>
      <c r="D32" s="30"/>
      <c r="E32" s="30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1:59" x14ac:dyDescent="0.3">
      <c r="A33" s="198" t="s">
        <v>154</v>
      </c>
      <c r="B33" s="30">
        <f>COUNTIF($D$30:$H$32,"Yes")</f>
        <v>0</v>
      </c>
      <c r="C33" s="186"/>
      <c r="D33" s="30"/>
      <c r="E33" s="30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1:59" x14ac:dyDescent="0.3">
      <c r="A34" s="198" t="s">
        <v>155</v>
      </c>
      <c r="B34" s="30">
        <f>COUNTIF($D$34:$AA$34,"Yes")</f>
        <v>0</v>
      </c>
      <c r="C34" s="188" t="s">
        <v>156</v>
      </c>
      <c r="D34" s="30"/>
      <c r="E34" s="30"/>
      <c r="K34" s="15"/>
      <c r="L34" s="15"/>
      <c r="M34" s="15"/>
      <c r="N34" s="15"/>
      <c r="O34" s="15"/>
      <c r="P34" s="15"/>
      <c r="Q34" s="15"/>
      <c r="R34" s="1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</row>
    <row r="35" spans="1:59" x14ac:dyDescent="0.3">
      <c r="A35" s="199"/>
      <c r="B35" s="38"/>
      <c r="C35" s="189"/>
      <c r="D35" s="38"/>
      <c r="E35" s="38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1:59" s="75" customFormat="1" ht="15.75" x14ac:dyDescent="0.2">
      <c r="A36" s="200"/>
      <c r="C36" s="75" t="s">
        <v>282</v>
      </c>
      <c r="D36" s="75" t="s">
        <v>157</v>
      </c>
      <c r="E36" s="75" t="s">
        <v>158</v>
      </c>
      <c r="F36" s="75" t="s">
        <v>159</v>
      </c>
    </row>
    <row r="37" spans="1:59" x14ac:dyDescent="0.3">
      <c r="A37" s="201"/>
      <c r="B37" s="77"/>
      <c r="C37" s="39" t="s">
        <v>40</v>
      </c>
      <c r="D37" s="77"/>
      <c r="E37" s="77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1:59" x14ac:dyDescent="0.3">
      <c r="A38" s="196"/>
      <c r="B38" s="30"/>
      <c r="C38" s="29" t="s">
        <v>160</v>
      </c>
      <c r="D38" s="30"/>
      <c r="E38" s="30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 spans="1:59" ht="18" customHeight="1" x14ac:dyDescent="0.3">
      <c r="A39" s="196"/>
      <c r="B39" s="30"/>
      <c r="C39" s="29" t="s">
        <v>161</v>
      </c>
      <c r="D39" s="30"/>
      <c r="E39" s="30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 spans="1:59" ht="18" customHeight="1" x14ac:dyDescent="0.3">
      <c r="A40" s="196"/>
      <c r="B40" s="30"/>
      <c r="C40" s="29" t="s">
        <v>162</v>
      </c>
      <c r="D40" s="30"/>
      <c r="E40" s="30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1:59" ht="18" customHeight="1" x14ac:dyDescent="0.3">
      <c r="A41" s="196"/>
      <c r="B41" s="30"/>
      <c r="C41" s="29" t="s">
        <v>163</v>
      </c>
      <c r="D41" s="30"/>
      <c r="E41" s="30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 spans="1:59" x14ac:dyDescent="0.3">
      <c r="A42" s="193" t="s">
        <v>164</v>
      </c>
      <c r="B42" s="30">
        <f>COUNTIF(D42:Z42,"yes")</f>
        <v>0</v>
      </c>
      <c r="C42" s="29" t="s">
        <v>165</v>
      </c>
      <c r="D42" s="30"/>
      <c r="E42" s="30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 spans="1:59" x14ac:dyDescent="0.3">
      <c r="A43" s="196"/>
      <c r="B43" s="30"/>
      <c r="C43" s="30"/>
      <c r="D43" s="30"/>
      <c r="E43" s="30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 spans="1:59" x14ac:dyDescent="0.3">
      <c r="A44" s="198" t="s">
        <v>166</v>
      </c>
      <c r="B44" s="30">
        <f>COUNTIF($D$44:$AA$44,"yes")</f>
        <v>0</v>
      </c>
      <c r="C44" s="33" t="s">
        <v>149</v>
      </c>
      <c r="D44" s="30"/>
      <c r="E44" s="30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 spans="1:59" x14ac:dyDescent="0.3">
      <c r="A45" s="198" t="s">
        <v>167</v>
      </c>
      <c r="B45" s="30">
        <f>COUNTIF($D$45:$AA$45,"yes")</f>
        <v>0</v>
      </c>
      <c r="C45" s="33" t="s">
        <v>151</v>
      </c>
      <c r="D45" s="30"/>
      <c r="E45" s="30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 spans="1:59" x14ac:dyDescent="0.3">
      <c r="A46" s="198" t="s">
        <v>168</v>
      </c>
      <c r="B46" s="30">
        <f>COUNTIF($D$46:$AA$46,"yes")</f>
        <v>0</v>
      </c>
      <c r="C46" s="33" t="s">
        <v>153</v>
      </c>
      <c r="D46" s="30"/>
      <c r="E46" s="30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1:59" x14ac:dyDescent="0.3">
      <c r="A47" s="198" t="s">
        <v>154</v>
      </c>
      <c r="B47" s="30">
        <f>COUNTIF($D$44:$H$46,"Yes")</f>
        <v>0</v>
      </c>
      <c r="C47" s="30"/>
      <c r="D47" s="30"/>
      <c r="E47" s="30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 spans="1:59" x14ac:dyDescent="0.3">
      <c r="A48" s="198" t="s">
        <v>155</v>
      </c>
      <c r="B48" s="30">
        <f>COUNTIF(D48:AA48,"Yes")</f>
        <v>0</v>
      </c>
      <c r="C48" s="33" t="s">
        <v>156</v>
      </c>
      <c r="D48" s="30"/>
      <c r="E48" s="30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 spans="1:169" x14ac:dyDescent="0.3">
      <c r="A49" s="196"/>
      <c r="B49" s="30"/>
      <c r="C49" s="30"/>
      <c r="D49" s="30"/>
      <c r="E49" s="30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 spans="1:169" s="22" customFormat="1" ht="18" thickBot="1" x14ac:dyDescent="0.35">
      <c r="A50" s="195" t="s">
        <v>169</v>
      </c>
      <c r="B50" s="37">
        <f>SUM(D50:R50)</f>
        <v>0</v>
      </c>
      <c r="C50" s="34" t="s">
        <v>283</v>
      </c>
      <c r="D50" s="31"/>
      <c r="E50" s="31"/>
      <c r="F50" s="31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169" s="18" customFormat="1" ht="18" thickTop="1" x14ac:dyDescent="0.3">
      <c r="A51" s="196"/>
      <c r="B51" s="32"/>
      <c r="C51" s="32"/>
      <c r="D51" s="32" t="e">
        <f t="shared" ref="D51:F51" si="2">D50/$B$50</f>
        <v>#DIV/0!</v>
      </c>
      <c r="E51" s="32" t="e">
        <f t="shared" si="2"/>
        <v>#DIV/0!</v>
      </c>
      <c r="F51" s="32" t="e">
        <f t="shared" si="2"/>
        <v>#DIV/0!</v>
      </c>
      <c r="G51" s="17" t="e">
        <f t="shared" ref="G51:R51" si="3">G50/$B$50</f>
        <v>#DIV/0!</v>
      </c>
      <c r="H51" s="17" t="e">
        <f t="shared" si="3"/>
        <v>#DIV/0!</v>
      </c>
      <c r="I51" s="17" t="e">
        <f t="shared" si="3"/>
        <v>#DIV/0!</v>
      </c>
      <c r="J51" s="17" t="e">
        <f t="shared" si="3"/>
        <v>#DIV/0!</v>
      </c>
      <c r="K51" s="17" t="e">
        <f t="shared" si="3"/>
        <v>#DIV/0!</v>
      </c>
      <c r="L51" s="17" t="e">
        <f t="shared" si="3"/>
        <v>#DIV/0!</v>
      </c>
      <c r="M51" s="17" t="e">
        <f t="shared" si="3"/>
        <v>#DIV/0!</v>
      </c>
      <c r="N51" s="17" t="e">
        <f t="shared" si="3"/>
        <v>#DIV/0!</v>
      </c>
      <c r="O51" s="17" t="e">
        <f t="shared" si="3"/>
        <v>#DIV/0!</v>
      </c>
      <c r="P51" s="17" t="e">
        <f t="shared" si="3"/>
        <v>#DIV/0!</v>
      </c>
      <c r="Q51" s="17" t="e">
        <f t="shared" si="3"/>
        <v>#DIV/0!</v>
      </c>
      <c r="R51" s="17" t="e">
        <f t="shared" si="3"/>
        <v>#DIV/0!</v>
      </c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</row>
    <row r="52" spans="1:169" x14ac:dyDescent="0.3">
      <c r="A52" s="202" t="s">
        <v>4</v>
      </c>
      <c r="B52" s="30">
        <f>COUNTIF($D$52:$AA$52,"*")</f>
        <v>0</v>
      </c>
      <c r="C52" s="35" t="s">
        <v>170</v>
      </c>
      <c r="D52" s="122"/>
      <c r="E52" s="122"/>
      <c r="F52" s="122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</row>
    <row r="53" spans="1:169" x14ac:dyDescent="0.3">
      <c r="A53" s="196"/>
      <c r="B53" s="30"/>
      <c r="C53" s="35" t="s">
        <v>173</v>
      </c>
      <c r="D53" s="30"/>
      <c r="E53" s="30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</row>
    <row r="54" spans="1:169" x14ac:dyDescent="0.3">
      <c r="A54" s="196"/>
      <c r="B54" s="30"/>
      <c r="C54" s="35" t="s">
        <v>176</v>
      </c>
      <c r="D54" s="30"/>
      <c r="E54" s="30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</row>
    <row r="55" spans="1:169" x14ac:dyDescent="0.3">
      <c r="A55" s="199"/>
      <c r="B55" s="38"/>
      <c r="C55" s="38"/>
      <c r="D55" s="38"/>
      <c r="E55" s="38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</row>
    <row r="56" spans="1:169" s="42" customFormat="1" ht="74.25" customHeight="1" x14ac:dyDescent="0.3">
      <c r="A56" s="42" t="s">
        <v>95</v>
      </c>
      <c r="C56" s="42" t="s">
        <v>177</v>
      </c>
      <c r="D56" s="42" t="s">
        <v>178</v>
      </c>
      <c r="E56" s="42" t="s">
        <v>179</v>
      </c>
      <c r="F56" s="42" t="s">
        <v>180</v>
      </c>
      <c r="G56" s="42" t="s">
        <v>181</v>
      </c>
      <c r="H56" s="42" t="s">
        <v>182</v>
      </c>
      <c r="I56" s="42" t="s">
        <v>183</v>
      </c>
      <c r="J56" s="42" t="s">
        <v>184</v>
      </c>
      <c r="K56" s="42" t="s">
        <v>185</v>
      </c>
      <c r="L56" s="42" t="s">
        <v>186</v>
      </c>
      <c r="M56" s="42" t="s">
        <v>187</v>
      </c>
      <c r="N56" s="42" t="s">
        <v>188</v>
      </c>
      <c r="O56" s="42" t="s">
        <v>189</v>
      </c>
      <c r="P56" s="94"/>
    </row>
    <row r="57" spans="1:169" x14ac:dyDescent="0.3">
      <c r="A57" s="110" t="s">
        <v>190</v>
      </c>
      <c r="B57" s="88">
        <f>COUNTIF($D$52:$ZZ$54,Support!A2)</f>
        <v>0</v>
      </c>
      <c r="C57" s="28" t="str">
        <f>Jurisdictions!A4</f>
        <v>British Virgin Islands</v>
      </c>
      <c r="D57" s="29">
        <f>SUM(H57,I57,K57,L57,M57,N57,O57)</f>
        <v>0</v>
      </c>
      <c r="E57" s="28">
        <f>Jurisdictions!E4</f>
        <v>0.3004</v>
      </c>
      <c r="F57" s="89">
        <f t="shared" ref="F57:F77" si="4">D57*E57</f>
        <v>0</v>
      </c>
      <c r="G57" s="73" t="e">
        <f>F57/$F$78</f>
        <v>#DIV/0!</v>
      </c>
      <c r="H57" s="89">
        <f>COUNTIF($D$4:$ZZ$4,Jurisdictions!A4)</f>
        <v>0</v>
      </c>
      <c r="I57" s="89">
        <f>COUNTIF($D$5:$ZZ$5,Jurisdictions!A4)</f>
        <v>0</v>
      </c>
      <c r="J57" s="30">
        <f>COUNTIF($D$18:$ZZ$22,Jurisdictions!A4)</f>
        <v>0</v>
      </c>
      <c r="K57" s="89">
        <f>COUNTIF($D$37:$ZZ$37,Jurisdictions!A4)</f>
        <v>0</v>
      </c>
      <c r="L57" s="89">
        <f>COUNTIF($D$38:$ZZ$38,Jurisdictions!A4)</f>
        <v>0</v>
      </c>
      <c r="M57" s="89">
        <f>COUNTIF($D$39:$ZZ$39,Jurisdictions!A4)</f>
        <v>0</v>
      </c>
      <c r="N57" s="89">
        <f>COUNTIF($D$40:$ZZ$40,Jurisdictions!A4)</f>
        <v>0</v>
      </c>
      <c r="O57" s="89">
        <f>COUNTIF($D$41:$ZZ$41,Jurisdictions!A4)</f>
        <v>0</v>
      </c>
    </row>
    <row r="58" spans="1:169" x14ac:dyDescent="0.3">
      <c r="A58" s="110" t="s">
        <v>78</v>
      </c>
      <c r="B58" s="88">
        <f>COUNTIF($D$52:$ZZ$54,Support!A3)</f>
        <v>0</v>
      </c>
      <c r="C58" s="28" t="str">
        <f>Jurisdictions!A5</f>
        <v>Cayman Islands</v>
      </c>
      <c r="D58" s="29">
        <f t="shared" ref="D58:D77" si="5">SUM(H58,I58,K58,L58,M58,N58,O58)</f>
        <v>0</v>
      </c>
      <c r="E58" s="28">
        <f>Jurisdictions!E5</f>
        <v>0.27829999999999999</v>
      </c>
      <c r="F58" s="89">
        <f t="shared" si="4"/>
        <v>0</v>
      </c>
      <c r="G58" s="73" t="e">
        <f t="shared" ref="G58:G77" si="6">F58/$F$78</f>
        <v>#DIV/0!</v>
      </c>
      <c r="H58" s="89">
        <f>COUNTIF($D$4:$ZZ$4,Jurisdictions!A5)</f>
        <v>0</v>
      </c>
      <c r="I58" s="89">
        <f>COUNTIF($D$5:$ZZ$5,Jurisdictions!A5)</f>
        <v>0</v>
      </c>
      <c r="J58" s="30">
        <f>COUNTIF($D$18:$ZZ$22,Jurisdictions!A5)</f>
        <v>0</v>
      </c>
      <c r="K58" s="89">
        <f>COUNTIF($D$37:$ZZ$37,Jurisdictions!A5)</f>
        <v>0</v>
      </c>
      <c r="L58" s="89">
        <f>COUNTIF($D$38:$ZZ$38,Jurisdictions!A5)</f>
        <v>0</v>
      </c>
      <c r="M58" s="89">
        <f>COUNTIF($D$39:$ZZ$39,Jurisdictions!A5)</f>
        <v>0</v>
      </c>
      <c r="N58" s="89">
        <f>COUNTIF($D$40:$ZZ$40,Jurisdictions!A5)</f>
        <v>0</v>
      </c>
      <c r="O58" s="89">
        <f>COUNTIF($D$41:$ZZ$41,Jurisdictions!A5)</f>
        <v>0</v>
      </c>
    </row>
    <row r="59" spans="1:169" x14ac:dyDescent="0.3">
      <c r="A59" s="110" t="s">
        <v>82</v>
      </c>
      <c r="B59" s="88">
        <f>COUNTIF($D$52:$ZZ$54,Support!A4)</f>
        <v>0</v>
      </c>
      <c r="C59" s="28" t="str">
        <f>Jurisdictions!A6</f>
        <v>Frances</v>
      </c>
      <c r="D59" s="29">
        <f t="shared" si="5"/>
        <v>0</v>
      </c>
      <c r="E59" s="28">
        <f>Jurisdictions!E6</f>
        <v>0.23609999999999998</v>
      </c>
      <c r="F59" s="89">
        <f t="shared" si="4"/>
        <v>0</v>
      </c>
      <c r="G59" s="73" t="e">
        <f t="shared" si="6"/>
        <v>#DIV/0!</v>
      </c>
      <c r="H59" s="89">
        <f>COUNTIF($D$4:$ZZ$4,Jurisdictions!A6)</f>
        <v>0</v>
      </c>
      <c r="I59" s="89">
        <f>COUNTIF($D$5:$ZZ$5,Jurisdictions!A6)</f>
        <v>0</v>
      </c>
      <c r="J59" s="30">
        <f>COUNTIF($D$18:$ZZ$22,Jurisdictions!A6)</f>
        <v>0</v>
      </c>
      <c r="K59" s="89">
        <f>COUNTIF($D$37:$ZZ$37,Jurisdictions!A6)</f>
        <v>0</v>
      </c>
      <c r="L59" s="89">
        <f>COUNTIF($D$38:$ZZ$38,Jurisdictions!A6)</f>
        <v>0</v>
      </c>
      <c r="M59" s="89">
        <f>COUNTIF($D$39:$ZZ$39,Jurisdictions!A6)</f>
        <v>0</v>
      </c>
      <c r="N59" s="89">
        <f>COUNTIF($D$40:$ZZ$40,Jurisdictions!A6)</f>
        <v>0</v>
      </c>
      <c r="O59" s="89">
        <f>COUNTIF($D$41:$ZZ$41,Jurisdictions!A6)</f>
        <v>0</v>
      </c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</row>
    <row r="60" spans="1:169" x14ac:dyDescent="0.3">
      <c r="A60" s="110" t="s">
        <v>191</v>
      </c>
      <c r="B60" s="88">
        <f>COUNTIF($D$52:$ZZ$54,Support!A5)</f>
        <v>0</v>
      </c>
      <c r="C60" s="28" t="str">
        <f>Jurisdictions!A7</f>
        <v>Germany</v>
      </c>
      <c r="D60" s="29">
        <f t="shared" si="5"/>
        <v>0</v>
      </c>
      <c r="E60" s="28">
        <f>Jurisdictions!E7</f>
        <v>0.21879999999999999</v>
      </c>
      <c r="F60" s="89">
        <f t="shared" si="4"/>
        <v>0</v>
      </c>
      <c r="G60" s="73" t="e">
        <f t="shared" si="6"/>
        <v>#DIV/0!</v>
      </c>
      <c r="H60" s="89">
        <f>COUNTIF($D$4:$ZZ$4,Jurisdictions!A7)</f>
        <v>0</v>
      </c>
      <c r="I60" s="89">
        <f>COUNTIF($D$5:$ZZ$5,Jurisdictions!A7)</f>
        <v>0</v>
      </c>
      <c r="J60" s="30">
        <f>COUNTIF($D$18:$ZZ$22,Jurisdictions!A7)</f>
        <v>0</v>
      </c>
      <c r="K60" s="89">
        <f>COUNTIF($D$37:$ZZ$37,Jurisdictions!A7)</f>
        <v>0</v>
      </c>
      <c r="L60" s="89">
        <f>COUNTIF($D$38:$ZZ$38,Jurisdictions!A7)</f>
        <v>0</v>
      </c>
      <c r="M60" s="89">
        <f>COUNTIF($D$39:$ZZ$39,Jurisdictions!A7)</f>
        <v>0</v>
      </c>
      <c r="N60" s="89">
        <f>COUNTIF($D$40:$ZZ$40,Jurisdictions!A7)</f>
        <v>0</v>
      </c>
      <c r="O60" s="89">
        <f>COUNTIF($D$41:$ZZ$41,Jurisdictions!A7)</f>
        <v>0</v>
      </c>
    </row>
    <row r="61" spans="1:169" x14ac:dyDescent="0.3">
      <c r="A61" s="110" t="s">
        <v>79</v>
      </c>
      <c r="B61" s="88">
        <f>COUNTIF($D$52:$ZZ$54,Support!A6)</f>
        <v>0</v>
      </c>
      <c r="C61" s="28" t="str">
        <f>Jurisdictions!A8</f>
        <v>Hong Kong</v>
      </c>
      <c r="D61" s="29">
        <f t="shared" si="5"/>
        <v>0</v>
      </c>
      <c r="E61" s="28">
        <f>Jurisdictions!E8</f>
        <v>0.26890000000000003</v>
      </c>
      <c r="F61" s="89">
        <f t="shared" si="4"/>
        <v>0</v>
      </c>
      <c r="G61" s="73" t="e">
        <f t="shared" si="6"/>
        <v>#DIV/0!</v>
      </c>
      <c r="H61" s="89">
        <f>COUNTIF($D$4:$ZZ$4,Jurisdictions!A8)</f>
        <v>0</v>
      </c>
      <c r="I61" s="89">
        <f>COUNTIF($D$5:$ZZ$5,Jurisdictions!A8)</f>
        <v>0</v>
      </c>
      <c r="J61" s="30">
        <f>COUNTIF($D$18:$ZZ$22,Jurisdictions!A8)</f>
        <v>0</v>
      </c>
      <c r="K61" s="89">
        <f>COUNTIF($D$37:$ZZ$37,Jurisdictions!A8)</f>
        <v>0</v>
      </c>
      <c r="L61" s="89">
        <f>COUNTIF($D$38:$ZZ$38,Jurisdictions!A8)</f>
        <v>0</v>
      </c>
      <c r="M61" s="89">
        <f>COUNTIF($D$39:$ZZ$39,Jurisdictions!A8)</f>
        <v>0</v>
      </c>
      <c r="N61" s="89">
        <f>COUNTIF($D$40:$ZZ$40,Jurisdictions!A8)</f>
        <v>0</v>
      </c>
      <c r="O61" s="89">
        <f>COUNTIF($D$41:$ZZ$41,Jurisdictions!A8)</f>
        <v>0</v>
      </c>
    </row>
    <row r="62" spans="1:169" x14ac:dyDescent="0.3">
      <c r="A62" s="110" t="s">
        <v>174</v>
      </c>
      <c r="B62" s="88">
        <f>COUNTIF($D$52:$ZZ$54,Support!A7)</f>
        <v>0</v>
      </c>
      <c r="C62" s="28" t="str">
        <f>Jurisdictions!A9</f>
        <v>Indonesia</v>
      </c>
      <c r="D62" s="29">
        <f t="shared" si="5"/>
        <v>0</v>
      </c>
      <c r="E62" s="28">
        <f>Jurisdictions!E9</f>
        <v>0.42100000000000004</v>
      </c>
      <c r="F62" s="89">
        <f t="shared" si="4"/>
        <v>0</v>
      </c>
      <c r="G62" s="73" t="e">
        <f t="shared" si="6"/>
        <v>#DIV/0!</v>
      </c>
      <c r="H62" s="89">
        <f>COUNTIF($D$4:$ZZ$4,Jurisdictions!A9)</f>
        <v>0</v>
      </c>
      <c r="I62" s="89">
        <f>COUNTIF($D$5:$ZZ$5,Jurisdictions!A9)</f>
        <v>0</v>
      </c>
      <c r="J62" s="30">
        <f>COUNTIF($D$18:$ZZ$22,Jurisdictions!A9)</f>
        <v>0</v>
      </c>
      <c r="K62" s="89">
        <f>COUNTIF($D$37:$ZZ$37,Jurisdictions!A9)</f>
        <v>0</v>
      </c>
      <c r="L62" s="89">
        <f>COUNTIF($D$38:$ZZ$38,Jurisdictions!A9)</f>
        <v>0</v>
      </c>
      <c r="M62" s="89">
        <f>COUNTIF($D$39:$ZZ$39,Jurisdictions!A9)</f>
        <v>0</v>
      </c>
      <c r="N62" s="89">
        <f>COUNTIF($D$40:$ZZ$40,Jurisdictions!A9)</f>
        <v>0</v>
      </c>
      <c r="O62" s="89">
        <f>COUNTIF($D$41:$ZZ$41,Jurisdictions!A9)</f>
        <v>0</v>
      </c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</row>
    <row r="63" spans="1:169" x14ac:dyDescent="0.3">
      <c r="A63" s="110" t="s">
        <v>192</v>
      </c>
      <c r="B63" s="88">
        <f>COUNTIF($D$52:$ZZ$54,Support!A8)</f>
        <v>0</v>
      </c>
      <c r="C63" s="28" t="str">
        <f>Jurisdictions!A10</f>
        <v>Japan</v>
      </c>
      <c r="D63" s="29">
        <f t="shared" si="5"/>
        <v>0</v>
      </c>
      <c r="E63" s="28">
        <f>Jurisdictions!E10</f>
        <v>0.36919999999999997</v>
      </c>
      <c r="F63" s="89">
        <f t="shared" si="4"/>
        <v>0</v>
      </c>
      <c r="G63" s="73" t="e">
        <f t="shared" si="6"/>
        <v>#DIV/0!</v>
      </c>
      <c r="H63" s="89">
        <f>COUNTIF($D$4:$ZZ$4,Jurisdictions!A10)</f>
        <v>0</v>
      </c>
      <c r="I63" s="89">
        <f>COUNTIF($D$5:$ZZ$5,Jurisdictions!A10)</f>
        <v>0</v>
      </c>
      <c r="J63" s="30">
        <f>COUNTIF($D$18:$ZZ$22,Jurisdictions!A10)</f>
        <v>0</v>
      </c>
      <c r="K63" s="89">
        <f>COUNTIF($D$37:$ZZ$37,Jurisdictions!A10)</f>
        <v>0</v>
      </c>
      <c r="L63" s="89">
        <f>COUNTIF($D$38:$ZZ$38,Jurisdictions!A10)</f>
        <v>0</v>
      </c>
      <c r="M63" s="89">
        <f>COUNTIF($D$39:$ZZ$39,Jurisdictions!A10)</f>
        <v>0</v>
      </c>
      <c r="N63" s="89">
        <f>COUNTIF($D$40:$ZZ$40,Jurisdictions!A10)</f>
        <v>0</v>
      </c>
      <c r="O63" s="89">
        <f>COUNTIF($D$41:$ZZ$41,Jurisdictions!A10)</f>
        <v>0</v>
      </c>
    </row>
    <row r="64" spans="1:169" x14ac:dyDescent="0.3">
      <c r="A64" s="110" t="s">
        <v>193</v>
      </c>
      <c r="B64" s="88">
        <f>COUNTIF($D$52:$ZZ$54,Support!A9)</f>
        <v>0</v>
      </c>
      <c r="C64" s="28" t="str">
        <f>Jurisdictions!A11</f>
        <v>asdjhasd</v>
      </c>
      <c r="D64" s="29">
        <f t="shared" si="5"/>
        <v>0</v>
      </c>
      <c r="E64" s="28">
        <f>Jurisdictions!E11</f>
        <v>0.34119999999999995</v>
      </c>
      <c r="F64" s="89">
        <f t="shared" si="4"/>
        <v>0</v>
      </c>
      <c r="G64" s="73" t="e">
        <f t="shared" si="6"/>
        <v>#DIV/0!</v>
      </c>
      <c r="H64" s="89">
        <f>COUNTIF($D$4:$ZZ$4,Jurisdictions!A11)</f>
        <v>0</v>
      </c>
      <c r="I64" s="89">
        <f>COUNTIF($D$5:$ZZ$5,Jurisdictions!A11)</f>
        <v>0</v>
      </c>
      <c r="J64" s="30">
        <f>COUNTIF($D$18:$ZZ$22,Jurisdictions!A11)</f>
        <v>0</v>
      </c>
      <c r="K64" s="89">
        <f>COUNTIF($D$37:$ZZ$37,Jurisdictions!A11)</f>
        <v>0</v>
      </c>
      <c r="L64" s="89">
        <f>COUNTIF($D$38:$ZZ$38,Jurisdictions!A11)</f>
        <v>0</v>
      </c>
      <c r="M64" s="89">
        <f>COUNTIF($D$39:$ZZ$39,Jurisdictions!A11)</f>
        <v>0</v>
      </c>
      <c r="N64" s="89">
        <f>COUNTIF($D$40:$ZZ$40,Jurisdictions!A11)</f>
        <v>0</v>
      </c>
      <c r="O64" s="89">
        <f>COUNTIF($D$41:$ZZ$41,Jurisdictions!A11)</f>
        <v>0</v>
      </c>
    </row>
    <row r="65" spans="1:169" x14ac:dyDescent="0.3">
      <c r="A65" s="110" t="s">
        <v>194</v>
      </c>
      <c r="B65" s="88">
        <f>COUNTIF($D$52:$ZZ$54,Support!A10)</f>
        <v>0</v>
      </c>
      <c r="C65" s="28" t="str">
        <f>Jurisdictions!A12</f>
        <v>Russia</v>
      </c>
      <c r="D65" s="29">
        <f t="shared" si="5"/>
        <v>0</v>
      </c>
      <c r="E65" s="28">
        <f>Jurisdictions!E12</f>
        <v>0.47750000000000004</v>
      </c>
      <c r="F65" s="89">
        <f t="shared" si="4"/>
        <v>0</v>
      </c>
      <c r="G65" s="73" t="e">
        <f t="shared" si="6"/>
        <v>#DIV/0!</v>
      </c>
      <c r="H65" s="89">
        <f>COUNTIF($D$4:$ZZ$4,Jurisdictions!A12)</f>
        <v>0</v>
      </c>
      <c r="I65" s="89">
        <f>COUNTIF($D$5:$ZZ$5,Jurisdictions!A12)</f>
        <v>0</v>
      </c>
      <c r="J65" s="30">
        <f>COUNTIF($D$18:$ZZ$22,Jurisdictions!A12)</f>
        <v>0</v>
      </c>
      <c r="K65" s="89">
        <f>COUNTIF($D$37:$ZZ$37,Jurisdictions!A12)</f>
        <v>0</v>
      </c>
      <c r="L65" s="89">
        <f>COUNTIF($D$38:$ZZ$38,Jurisdictions!A12)</f>
        <v>0</v>
      </c>
      <c r="M65" s="89">
        <f>COUNTIF($D$39:$ZZ$39,Jurisdictions!A12)</f>
        <v>0</v>
      </c>
      <c r="N65" s="89">
        <f>COUNTIF($D$40:$ZZ$40,Jurisdictions!A12)</f>
        <v>0</v>
      </c>
      <c r="O65" s="89">
        <f>COUNTIF($D$41:$ZZ$41,Jurisdictions!A12)</f>
        <v>0</v>
      </c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</row>
    <row r="66" spans="1:169" x14ac:dyDescent="0.3">
      <c r="A66" s="110" t="s">
        <v>81</v>
      </c>
      <c r="B66" s="88">
        <f>COUNTIF($D$52:$ZZ$54,Support!A11)</f>
        <v>0</v>
      </c>
      <c r="C66" s="28" t="str">
        <f>Jurisdictions!A13</f>
        <v>Singapore</v>
      </c>
      <c r="D66" s="29">
        <f t="shared" si="5"/>
        <v>0</v>
      </c>
      <c r="E66" s="28">
        <f>Jurisdictions!E13</f>
        <v>0.255</v>
      </c>
      <c r="F66" s="89">
        <f t="shared" si="4"/>
        <v>0</v>
      </c>
      <c r="G66" s="73" t="e">
        <f t="shared" si="6"/>
        <v>#DIV/0!</v>
      </c>
      <c r="H66" s="89">
        <f>COUNTIF($D$4:$ZZ$4,Jurisdictions!A13)</f>
        <v>0</v>
      </c>
      <c r="I66" s="89">
        <f>COUNTIF($D$5:$ZZ$5,Jurisdictions!A13)</f>
        <v>0</v>
      </c>
      <c r="J66" s="30">
        <f>COUNTIF($D$18:$ZZ$22,Jurisdictions!A13)</f>
        <v>0</v>
      </c>
      <c r="K66" s="89">
        <f>COUNTIF($D$37:$ZZ$37,Jurisdictions!A13)</f>
        <v>0</v>
      </c>
      <c r="L66" s="89">
        <f>COUNTIF($D$38:$ZZ$38,Jurisdictions!A13)</f>
        <v>0</v>
      </c>
      <c r="M66" s="89">
        <f>COUNTIF($D$39:$ZZ$39,Jurisdictions!A13)</f>
        <v>0</v>
      </c>
      <c r="N66" s="89">
        <f>COUNTIF($D$40:$ZZ$40,Jurisdictions!A13)</f>
        <v>0</v>
      </c>
      <c r="O66" s="89">
        <f>COUNTIF($D$41:$ZZ$41,Jurisdictions!A13)</f>
        <v>0</v>
      </c>
    </row>
    <row r="67" spans="1:169" x14ac:dyDescent="0.3">
      <c r="A67" s="110" t="s">
        <v>171</v>
      </c>
      <c r="B67" s="88">
        <f>COUNTIF($D$52:$ZZ$54,Support!A12)</f>
        <v>0</v>
      </c>
      <c r="C67" s="28" t="str">
        <f>Jurisdictions!A14</f>
        <v>Switzerland</v>
      </c>
      <c r="D67" s="29">
        <f t="shared" si="5"/>
        <v>0</v>
      </c>
      <c r="E67" s="28">
        <f>Jurisdictions!E14</f>
        <v>0.249</v>
      </c>
      <c r="F67" s="89">
        <f t="shared" si="4"/>
        <v>0</v>
      </c>
      <c r="G67" s="73" t="e">
        <f t="shared" si="6"/>
        <v>#DIV/0!</v>
      </c>
      <c r="H67" s="89">
        <f>COUNTIF($D$4:$ZZ$4,Jurisdictions!A14)</f>
        <v>0</v>
      </c>
      <c r="I67" s="89">
        <f>COUNTIF($D$5:$ZZ$5,Jurisdictions!A14)</f>
        <v>0</v>
      </c>
      <c r="J67" s="30">
        <f>COUNTIF($D$18:$ZZ$22,Jurisdictions!A14)</f>
        <v>0</v>
      </c>
      <c r="K67" s="89">
        <f>COUNTIF($D$37:$ZZ$37,Jurisdictions!A14)</f>
        <v>0</v>
      </c>
      <c r="L67" s="89">
        <f>COUNTIF($D$38:$ZZ$38,Jurisdictions!A14)</f>
        <v>0</v>
      </c>
      <c r="M67" s="89">
        <f>COUNTIF($D$39:$ZZ$39,Jurisdictions!A14)</f>
        <v>0</v>
      </c>
      <c r="N67" s="89">
        <f>COUNTIF($D$40:$ZZ$40,Jurisdictions!A14)</f>
        <v>0</v>
      </c>
      <c r="O67" s="89">
        <f>COUNTIF($D$41:$ZZ$41,Jurisdictions!A14)</f>
        <v>0</v>
      </c>
    </row>
    <row r="68" spans="1:169" x14ac:dyDescent="0.3">
      <c r="A68" s="110" t="s">
        <v>195</v>
      </c>
      <c r="B68" s="88">
        <f>COUNTIF($D$52:$ZZ$54,Support!A13)</f>
        <v>0</v>
      </c>
      <c r="C68" s="28" t="str">
        <f>Jurisdictions!A15</f>
        <v>Taiwan</v>
      </c>
      <c r="D68" s="29">
        <f t="shared" si="5"/>
        <v>0</v>
      </c>
      <c r="E68" s="28">
        <f>Jurisdictions!E15</f>
        <v>0.36419999999999997</v>
      </c>
      <c r="F68" s="89">
        <f t="shared" si="4"/>
        <v>0</v>
      </c>
      <c r="G68" s="73" t="e">
        <f t="shared" si="6"/>
        <v>#DIV/0!</v>
      </c>
      <c r="H68" s="89">
        <f>COUNTIF($D$4:$ZZ$4,Jurisdictions!A15)</f>
        <v>0</v>
      </c>
      <c r="I68" s="89">
        <f>COUNTIF($D$5:$ZZ$5,Jurisdictions!A15)</f>
        <v>0</v>
      </c>
      <c r="J68" s="30">
        <f>COUNTIF($D$18:$ZZ$22,Jurisdictions!A15)</f>
        <v>0</v>
      </c>
      <c r="K68" s="89">
        <f>COUNTIF($D$37:$ZZ$37,Jurisdictions!A15)</f>
        <v>0</v>
      </c>
      <c r="L68" s="89">
        <f>COUNTIF($D$38:$ZZ$38,Jurisdictions!A15)</f>
        <v>0</v>
      </c>
      <c r="M68" s="89">
        <f>COUNTIF($D$39:$ZZ$39,Jurisdictions!A15)</f>
        <v>0</v>
      </c>
      <c r="N68" s="89">
        <f>COUNTIF($D$40:$ZZ$40,Jurisdictions!A15)</f>
        <v>0</v>
      </c>
      <c r="O68" s="89">
        <f>COUNTIF($D$41:$ZZ$41,Jurisdictions!A15)</f>
        <v>0</v>
      </c>
    </row>
    <row r="69" spans="1:169" x14ac:dyDescent="0.3">
      <c r="A69" s="110" t="s">
        <v>196</v>
      </c>
      <c r="B69" s="88">
        <f>COUNTIF($D$52:$ZZ$54,Support!A14)</f>
        <v>0</v>
      </c>
      <c r="C69" s="28" t="str">
        <f>Jurisdictions!A16</f>
        <v>hhjjhj</v>
      </c>
      <c r="D69" s="29">
        <f t="shared" si="5"/>
        <v>0</v>
      </c>
      <c r="E69" s="28">
        <f>Jurisdictions!E16</f>
        <v>0.40080000000000005</v>
      </c>
      <c r="F69" s="89">
        <f t="shared" si="4"/>
        <v>0</v>
      </c>
      <c r="G69" s="73" t="e">
        <f t="shared" si="6"/>
        <v>#DIV/0!</v>
      </c>
      <c r="H69" s="89">
        <f>COUNTIF($D$4:$ZZ$4,Jurisdictions!A16)</f>
        <v>0</v>
      </c>
      <c r="I69" s="89">
        <f>COUNTIF($D$5:$ZZ$5,Jurisdictions!A16)</f>
        <v>0</v>
      </c>
      <c r="J69" s="30">
        <f>COUNTIF($D$18:$ZZ$22,Jurisdictions!A16)</f>
        <v>0</v>
      </c>
      <c r="K69" s="89">
        <f>COUNTIF($D$37:$ZZ$37,Jurisdictions!A16)</f>
        <v>0</v>
      </c>
      <c r="L69" s="89">
        <f>COUNTIF($D$38:$ZZ$38,Jurisdictions!A16)</f>
        <v>0</v>
      </c>
      <c r="M69" s="89">
        <f>COUNTIF($D$39:$ZZ$39,Jurisdictions!A16)</f>
        <v>0</v>
      </c>
      <c r="N69" s="89">
        <f>COUNTIF($D$40:$ZZ$40,Jurisdictions!A16)</f>
        <v>0</v>
      </c>
      <c r="O69" s="89">
        <f>COUNTIF($D$41:$ZZ$41,Jurisdictions!A16)</f>
        <v>0</v>
      </c>
    </row>
    <row r="70" spans="1:169" x14ac:dyDescent="0.3">
      <c r="A70" s="110" t="s">
        <v>197</v>
      </c>
      <c r="B70" s="88">
        <f>COUNTIF($D$52:$ZZ$54,Support!A15)</f>
        <v>0</v>
      </c>
      <c r="C70" s="28" t="str">
        <f>Jurisdictions!A17</f>
        <v>United Arab Emirates</v>
      </c>
      <c r="D70" s="29">
        <f t="shared" si="5"/>
        <v>0</v>
      </c>
      <c r="E70" s="28">
        <f>Jurisdictions!E17</f>
        <v>0.34870000000000001</v>
      </c>
      <c r="F70" s="89">
        <f t="shared" si="4"/>
        <v>0</v>
      </c>
      <c r="G70" s="73" t="e">
        <f t="shared" si="6"/>
        <v>#DIV/0!</v>
      </c>
      <c r="H70" s="89">
        <f>COUNTIF($D$4:$ZZ$4,Jurisdictions!A17)</f>
        <v>0</v>
      </c>
      <c r="I70" s="89">
        <f>COUNTIF($D$5:$ZZ$5,Jurisdictions!A17)</f>
        <v>0</v>
      </c>
      <c r="J70" s="30">
        <f>COUNTIF($D$18:$ZZ$22,Jurisdictions!A17)</f>
        <v>0</v>
      </c>
      <c r="K70" s="89">
        <f>COUNTIF($D$37:$ZZ$37,Jurisdictions!A17)</f>
        <v>0</v>
      </c>
      <c r="L70" s="89">
        <f>COUNTIF($D$38:$ZZ$38,Jurisdictions!A17)</f>
        <v>0</v>
      </c>
      <c r="M70" s="89">
        <f>COUNTIF($D$39:$ZZ$39,Jurisdictions!A17)</f>
        <v>0</v>
      </c>
      <c r="N70" s="89">
        <f>COUNTIF($D$40:$ZZ$40,Jurisdictions!A17)</f>
        <v>0</v>
      </c>
      <c r="O70" s="89">
        <f>COUNTIF($D$41:$ZZ$41,Jurisdictions!A17)</f>
        <v>0</v>
      </c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</row>
    <row r="71" spans="1:169" x14ac:dyDescent="0.3">
      <c r="A71" s="110" t="s">
        <v>198</v>
      </c>
      <c r="B71" s="88">
        <f>COUNTIF($D$52:$ZZ$54,Support!A16)</f>
        <v>0</v>
      </c>
      <c r="C71" s="28" t="str">
        <f>Jurisdictions!A18</f>
        <v>United Kingdom</v>
      </c>
      <c r="D71" s="29">
        <f t="shared" si="5"/>
        <v>0</v>
      </c>
      <c r="E71" s="28">
        <f>Jurisdictions!E18</f>
        <v>0.22160000000000002</v>
      </c>
      <c r="F71" s="89">
        <f t="shared" si="4"/>
        <v>0</v>
      </c>
      <c r="G71" s="73" t="e">
        <f t="shared" si="6"/>
        <v>#DIV/0!</v>
      </c>
      <c r="H71" s="89">
        <f>COUNTIF($D$4:$ZZ$4,Jurisdictions!A18)</f>
        <v>0</v>
      </c>
      <c r="I71" s="89">
        <f>COUNTIF($D$5:$ZZ$5,Jurisdictions!A18)</f>
        <v>0</v>
      </c>
      <c r="J71" s="30">
        <f>COUNTIF($D$18:$ZZ$22,Jurisdictions!A18)</f>
        <v>0</v>
      </c>
      <c r="K71" s="89">
        <f>COUNTIF($D$37:$ZZ$37,Jurisdictions!A18)</f>
        <v>0</v>
      </c>
      <c r="L71" s="89">
        <f>COUNTIF($D$38:$ZZ$38,Jurisdictions!A18)</f>
        <v>0</v>
      </c>
      <c r="M71" s="89">
        <f>COUNTIF($D$39:$ZZ$39,Jurisdictions!A18)</f>
        <v>0</v>
      </c>
      <c r="N71" s="89">
        <f>COUNTIF($D$40:$ZZ$40,Jurisdictions!A18)</f>
        <v>0</v>
      </c>
      <c r="O71" s="89">
        <f>COUNTIF($D$41:$ZZ$41,Jurisdictions!A18)</f>
        <v>0</v>
      </c>
    </row>
    <row r="72" spans="1:169" x14ac:dyDescent="0.3">
      <c r="A72" s="110" t="s">
        <v>199</v>
      </c>
      <c r="B72" s="88">
        <f>COUNTIF($D$52:$ZZ$54,Support!A17)</f>
        <v>0</v>
      </c>
      <c r="C72" s="28" t="str">
        <f>Jurisdictions!A19</f>
        <v>United States</v>
      </c>
      <c r="D72" s="29">
        <f t="shared" si="5"/>
        <v>0</v>
      </c>
      <c r="E72" s="28">
        <f>Jurisdictions!E19</f>
        <v>0.23380000000000001</v>
      </c>
      <c r="F72" s="89">
        <f t="shared" si="4"/>
        <v>0</v>
      </c>
      <c r="G72" s="73" t="e">
        <f t="shared" si="6"/>
        <v>#DIV/0!</v>
      </c>
      <c r="H72" s="89">
        <f>COUNTIF($D$4:$ZZ$4,Jurisdictions!A19)</f>
        <v>0</v>
      </c>
      <c r="I72" s="89">
        <f>COUNTIF($D$5:$ZZ$5,Jurisdictions!A19)</f>
        <v>0</v>
      </c>
      <c r="J72" s="30">
        <f>COUNTIF($D$18:$ZZ$22,Jurisdictions!A19)</f>
        <v>0</v>
      </c>
      <c r="K72" s="89">
        <f>COUNTIF($D$37:$ZZ$37,Jurisdictions!A19)</f>
        <v>0</v>
      </c>
      <c r="L72" s="89">
        <f>COUNTIF($D$38:$ZZ$38,Jurisdictions!A19)</f>
        <v>0</v>
      </c>
      <c r="M72" s="89">
        <f>COUNTIF($D$39:$ZZ$39,Jurisdictions!A19)</f>
        <v>0</v>
      </c>
      <c r="N72" s="89">
        <f>COUNTIF($D$40:$ZZ$40,Jurisdictions!A19)</f>
        <v>0</v>
      </c>
      <c r="O72" s="89">
        <f>COUNTIF($D$41:$ZZ$41,Jurisdictions!A19)</f>
        <v>0</v>
      </c>
    </row>
    <row r="73" spans="1:169" x14ac:dyDescent="0.3">
      <c r="A73" s="110" t="s">
        <v>175</v>
      </c>
      <c r="B73" s="88">
        <f>COUNTIF($D$52:$ZZ$54,Support!A18)</f>
        <v>0</v>
      </c>
      <c r="C73" s="28">
        <f>Jurisdictions!A25</f>
        <v>0</v>
      </c>
      <c r="D73" s="29">
        <f t="shared" si="5"/>
        <v>0</v>
      </c>
      <c r="E73" s="28">
        <f>Jurisdictions!E25</f>
        <v>1</v>
      </c>
      <c r="F73" s="89">
        <f t="shared" si="4"/>
        <v>0</v>
      </c>
      <c r="G73" s="73" t="e">
        <f t="shared" si="6"/>
        <v>#DIV/0!</v>
      </c>
      <c r="H73" s="89">
        <f>COUNTIF($D$4:$ZZ$4,Jurisdictions!A25)</f>
        <v>0</v>
      </c>
      <c r="I73" s="89">
        <f>COUNTIF($D$5:$ZZ$5,Jurisdictions!A25)</f>
        <v>0</v>
      </c>
      <c r="J73" s="30">
        <f>COUNTIF($D$18:$ZZ$22,Jurisdictions!A25)</f>
        <v>0</v>
      </c>
      <c r="K73" s="89">
        <f>COUNTIF($D$37:$ZZ$37,Jurisdictions!A25)</f>
        <v>0</v>
      </c>
      <c r="L73" s="89">
        <f>COUNTIF($D$38:$ZZ$38,Jurisdictions!A25)</f>
        <v>0</v>
      </c>
      <c r="M73" s="89">
        <f>COUNTIF($D$39:$ZZ$39,Jurisdictions!A25)</f>
        <v>0</v>
      </c>
      <c r="N73" s="89">
        <f>COUNTIF($D$40:$ZZ$40,Jurisdictions!A25)</f>
        <v>0</v>
      </c>
      <c r="O73" s="89">
        <f>COUNTIF($D$41:$ZZ$41,Jurisdictions!A25)</f>
        <v>0</v>
      </c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</row>
    <row r="74" spans="1:169" x14ac:dyDescent="0.3">
      <c r="A74" s="110" t="s">
        <v>200</v>
      </c>
      <c r="B74" s="88">
        <f>COUNTIF($D$52:$ZZ$54,Support!A19)</f>
        <v>0</v>
      </c>
      <c r="C74" s="28">
        <f>Jurisdictions!A26</f>
        <v>0</v>
      </c>
      <c r="D74" s="29">
        <f t="shared" si="5"/>
        <v>0</v>
      </c>
      <c r="E74" s="28">
        <f>Jurisdictions!E26</f>
        <v>1</v>
      </c>
      <c r="F74" s="89">
        <f t="shared" si="4"/>
        <v>0</v>
      </c>
      <c r="G74" s="73" t="e">
        <f t="shared" si="6"/>
        <v>#DIV/0!</v>
      </c>
      <c r="H74" s="89">
        <f>COUNTIF($D$4:$ZZ$4,Jurisdictions!A26)</f>
        <v>0</v>
      </c>
      <c r="I74" s="89">
        <f>COUNTIF($D$5:$ZZ$5,Jurisdictions!A26)</f>
        <v>0</v>
      </c>
      <c r="J74" s="30">
        <f>COUNTIF($D$18:$ZZ$22,Jurisdictions!A26)</f>
        <v>0</v>
      </c>
      <c r="K74" s="89">
        <f>COUNTIF($D$37:$ZZ$37,Jurisdictions!A26)</f>
        <v>0</v>
      </c>
      <c r="L74" s="89">
        <f>COUNTIF($D$38:$ZZ$38,Jurisdictions!A26)</f>
        <v>0</v>
      </c>
      <c r="M74" s="89">
        <f>COUNTIF($D$39:$ZZ$39,Jurisdictions!A26)</f>
        <v>0</v>
      </c>
      <c r="N74" s="89">
        <f>COUNTIF($D$40:$ZZ$40,Jurisdictions!A26)</f>
        <v>0</v>
      </c>
      <c r="O74" s="89">
        <f>COUNTIF($D$41:$ZZ$41,Jurisdictions!A26)</f>
        <v>0</v>
      </c>
    </row>
    <row r="75" spans="1:169" x14ac:dyDescent="0.3">
      <c r="A75" s="110" t="s">
        <v>201</v>
      </c>
      <c r="B75" s="88">
        <f>COUNTIF($D$52:$ZZ$54,Support!A20)</f>
        <v>0</v>
      </c>
      <c r="C75" s="28">
        <f>Jurisdictions!A27</f>
        <v>0</v>
      </c>
      <c r="D75" s="29">
        <f t="shared" si="5"/>
        <v>0</v>
      </c>
      <c r="E75" s="28">
        <f>Jurisdictions!E27</f>
        <v>1</v>
      </c>
      <c r="F75" s="89">
        <f t="shared" si="4"/>
        <v>0</v>
      </c>
      <c r="G75" s="73" t="e">
        <f t="shared" si="6"/>
        <v>#DIV/0!</v>
      </c>
      <c r="H75" s="89">
        <f>COUNTIF($D$4:$ZZ$4,Jurisdictions!A27)</f>
        <v>0</v>
      </c>
      <c r="I75" s="89">
        <f>COUNTIF($D$5:$ZZ$5,Jurisdictions!A27)</f>
        <v>0</v>
      </c>
      <c r="J75" s="30">
        <f>COUNTIF($D$18:$ZZ$22,Jurisdictions!A27)</f>
        <v>0</v>
      </c>
      <c r="K75" s="89">
        <f>COUNTIF($D$37:$ZZ$37,Jurisdictions!A27)</f>
        <v>0</v>
      </c>
      <c r="L75" s="89">
        <f>COUNTIF($D$38:$ZZ$38,Jurisdictions!A27)</f>
        <v>0</v>
      </c>
      <c r="M75" s="89">
        <f>COUNTIF($D$39:$ZZ$39,Jurisdictions!A27)</f>
        <v>0</v>
      </c>
      <c r="N75" s="89">
        <f>COUNTIF($D$40:$ZZ$40,Jurisdictions!A27)</f>
        <v>0</v>
      </c>
      <c r="O75" s="89">
        <f>COUNTIF($D$41:$ZZ$41,Jurisdictions!A27)</f>
        <v>0</v>
      </c>
    </row>
    <row r="76" spans="1:169" x14ac:dyDescent="0.3">
      <c r="A76" s="110" t="s">
        <v>202</v>
      </c>
      <c r="B76" s="88">
        <f>COUNTIF($D$52:$ZZ$54,Support!A21)</f>
        <v>0</v>
      </c>
      <c r="C76" s="28">
        <f>Jurisdictions!A30</f>
        <v>0</v>
      </c>
      <c r="D76" s="29">
        <f t="shared" si="5"/>
        <v>0</v>
      </c>
      <c r="E76" s="28">
        <f>Jurisdictions!E30</f>
        <v>1</v>
      </c>
      <c r="F76" s="89">
        <f t="shared" si="4"/>
        <v>0</v>
      </c>
      <c r="G76" s="73" t="e">
        <f t="shared" si="6"/>
        <v>#DIV/0!</v>
      </c>
      <c r="H76" s="89">
        <f>COUNTIF($D$4:$ZZ$4,Jurisdictions!A30)</f>
        <v>0</v>
      </c>
      <c r="I76" s="89">
        <f>COUNTIF($D$5:$ZZ$5,Jurisdictions!A30)</f>
        <v>0</v>
      </c>
      <c r="J76" s="30">
        <f>COUNTIF($D$18:$ZZ$22,Jurisdictions!A30)</f>
        <v>0</v>
      </c>
      <c r="K76" s="89">
        <f>COUNTIF($D$37:$ZZ$37,Jurisdictions!A30)</f>
        <v>0</v>
      </c>
      <c r="L76" s="89">
        <f>COUNTIF($D$38:$ZZ$38,Jurisdictions!A30)</f>
        <v>0</v>
      </c>
      <c r="M76" s="89">
        <f>COUNTIF($D$39:$ZZ$39,Jurisdictions!A30)</f>
        <v>0</v>
      </c>
      <c r="N76" s="89">
        <f>COUNTIF($D$40:$ZZ$40,Jurisdictions!A30)</f>
        <v>0</v>
      </c>
      <c r="O76" s="89">
        <f>COUNTIF($D$41:$ZZ$41,Jurisdictions!A30)</f>
        <v>0</v>
      </c>
    </row>
    <row r="77" spans="1:169" x14ac:dyDescent="0.3">
      <c r="A77" s="110" t="s">
        <v>203</v>
      </c>
      <c r="B77" s="88">
        <f>COUNTIF($D$52:$ZZ$54,Support!A22)</f>
        <v>0</v>
      </c>
      <c r="C77" s="28">
        <f>Jurisdictions!A31</f>
        <v>0</v>
      </c>
      <c r="D77" s="29">
        <f t="shared" si="5"/>
        <v>0</v>
      </c>
      <c r="E77" s="28">
        <f>Jurisdictions!E31</f>
        <v>1</v>
      </c>
      <c r="F77" s="89">
        <f t="shared" si="4"/>
        <v>0</v>
      </c>
      <c r="G77" s="73" t="e">
        <f t="shared" si="6"/>
        <v>#DIV/0!</v>
      </c>
      <c r="H77" s="89">
        <f>COUNTIF($D$4:$ZZ$4,Jurisdictions!A31)</f>
        <v>0</v>
      </c>
      <c r="I77" s="89">
        <f>COUNTIF($D$5:$ZZ$5,Jurisdictions!A31)</f>
        <v>0</v>
      </c>
      <c r="J77" s="30">
        <f>COUNTIF($D$18:$ZZ$22,Jurisdictions!A31)</f>
        <v>0</v>
      </c>
      <c r="K77" s="89">
        <f>COUNTIF($D$37:$ZZ$37,Jurisdictions!A31)</f>
        <v>0</v>
      </c>
      <c r="L77" s="89">
        <f>COUNTIF($D$38:$ZZ$38,Jurisdictions!A31)</f>
        <v>0</v>
      </c>
      <c r="M77" s="89">
        <f>COUNTIF($D$39:$ZZ$39,Jurisdictions!A31)</f>
        <v>0</v>
      </c>
      <c r="N77" s="89">
        <f>COUNTIF($D$40:$ZZ$40,Jurisdictions!A31)</f>
        <v>0</v>
      </c>
      <c r="O77" s="89">
        <f>COUNTIF($D$41:$ZZ$41,Jurisdictions!A31)</f>
        <v>0</v>
      </c>
    </row>
    <row r="78" spans="1:169" x14ac:dyDescent="0.3">
      <c r="A78" s="110" t="s">
        <v>204</v>
      </c>
      <c r="B78" s="88">
        <f>COUNTIF($D$52:$ZZ$54,Support!A23)</f>
        <v>0</v>
      </c>
      <c r="C78" s="90" t="s">
        <v>205</v>
      </c>
      <c r="D78" s="90">
        <f>SUM(D57:D77)</f>
        <v>0</v>
      </c>
      <c r="E78" s="90"/>
      <c r="F78" s="90">
        <f>SUM(F57:F77)</f>
        <v>0</v>
      </c>
      <c r="G78" s="30"/>
      <c r="H78" s="30"/>
      <c r="I78" s="30"/>
      <c r="J78" s="30"/>
      <c r="K78" s="30"/>
      <c r="L78" s="30"/>
      <c r="M78" s="30"/>
      <c r="N78" s="30"/>
      <c r="O78" s="30"/>
    </row>
    <row r="79" spans="1:169" x14ac:dyDescent="0.3">
      <c r="A79" s="110" t="s">
        <v>206</v>
      </c>
      <c r="B79" s="88">
        <f>COUNTIF($D$52:$ZZ$54,Support!A24)</f>
        <v>0</v>
      </c>
    </row>
    <row r="80" spans="1:169" x14ac:dyDescent="0.3">
      <c r="A80" s="110" t="s">
        <v>83</v>
      </c>
      <c r="B80" s="88">
        <f>COUNTIF($D$52:$ZZ$54,Support!A25)</f>
        <v>0</v>
      </c>
    </row>
    <row r="81" spans="1:5" ht="18" thickBot="1" x14ac:dyDescent="0.35">
      <c r="A81" s="110" t="s">
        <v>207</v>
      </c>
      <c r="B81" s="88">
        <f>COUNTIF($D$52:$ZZ$54,Support!A26)</f>
        <v>0</v>
      </c>
      <c r="C81" s="233" t="s">
        <v>208</v>
      </c>
      <c r="D81" s="233"/>
    </row>
    <row r="82" spans="1:5" ht="18" thickTop="1" x14ac:dyDescent="0.3">
      <c r="A82" s="110" t="s">
        <v>209</v>
      </c>
      <c r="B82" s="88">
        <f>COUNTIF($D$52:$ZZ$54,Support!A27)</f>
        <v>0</v>
      </c>
      <c r="C82" s="87"/>
      <c r="D82" s="30"/>
      <c r="E82" s="36"/>
    </row>
    <row r="83" spans="1:5" x14ac:dyDescent="0.3">
      <c r="A83" s="110" t="s">
        <v>210</v>
      </c>
      <c r="B83" s="88">
        <f>COUNTIF($D$52:$ZZ$54,Support!A28)</f>
        <v>0</v>
      </c>
      <c r="C83" s="230" t="s">
        <v>43</v>
      </c>
      <c r="D83" s="231"/>
      <c r="E83" s="30">
        <f>COUNTIF($D$6:$AA$6,"Discretionary Management of Segregated Client Accounts")</f>
        <v>0</v>
      </c>
    </row>
    <row r="84" spans="1:5" x14ac:dyDescent="0.3">
      <c r="A84" s="110" t="s">
        <v>211</v>
      </c>
      <c r="B84" s="88">
        <f>COUNTIF($D$52:$ZZ$54,Support!A29)</f>
        <v>0</v>
      </c>
      <c r="C84" s="230" t="s">
        <v>44</v>
      </c>
      <c r="D84" s="231"/>
      <c r="E84" s="30">
        <f>COUNTIF($D$6:$AA$6,"Advisory Management")</f>
        <v>0</v>
      </c>
    </row>
    <row r="85" spans="1:5" x14ac:dyDescent="0.3">
      <c r="A85" s="110" t="s">
        <v>212</v>
      </c>
      <c r="B85" s="88">
        <f>COUNTIF($D$52:$ZZ$54,Support!A30)</f>
        <v>0</v>
      </c>
      <c r="C85" s="230" t="s">
        <v>56</v>
      </c>
      <c r="D85" s="231"/>
      <c r="E85" s="30">
        <f>COUNTIF($D$6:$AA$6,"Management of Investment Funds")</f>
        <v>0</v>
      </c>
    </row>
    <row r="86" spans="1:5" x14ac:dyDescent="0.3">
      <c r="A86" s="110" t="s">
        <v>213</v>
      </c>
      <c r="B86" s="88">
        <f>COUNTIF($D$52:$ZZ$54,Support!A31)</f>
        <v>0</v>
      </c>
      <c r="C86" s="230" t="s">
        <v>45</v>
      </c>
      <c r="D86" s="231"/>
      <c r="E86" s="30">
        <f>COUNTIF($D$6:$AA$6,"Advisory to other Management Firms/Funds")</f>
        <v>0</v>
      </c>
    </row>
    <row r="87" spans="1:5" x14ac:dyDescent="0.3">
      <c r="A87" s="110" t="s">
        <v>214</v>
      </c>
      <c r="B87" s="88">
        <f>COUNTIF($D$52:$ZZ$54,Support!A32)</f>
        <v>0</v>
      </c>
    </row>
    <row r="88" spans="1:5" x14ac:dyDescent="0.3">
      <c r="A88" s="110" t="s">
        <v>215</v>
      </c>
      <c r="B88" s="88">
        <f>COUNTIF($D$52:$ZZ$54,Support!A33)</f>
        <v>0</v>
      </c>
    </row>
    <row r="89" spans="1:5" x14ac:dyDescent="0.3">
      <c r="A89" s="110" t="s">
        <v>216</v>
      </c>
      <c r="B89" s="88">
        <f>COUNTIF($D$52:$ZZ$54,Support!A34)</f>
        <v>0</v>
      </c>
    </row>
    <row r="90" spans="1:5" x14ac:dyDescent="0.3">
      <c r="A90" s="110" t="s">
        <v>217</v>
      </c>
      <c r="B90" s="88">
        <f>COUNTIF($D$52:$ZZ$54,Support!A35)</f>
        <v>0</v>
      </c>
    </row>
    <row r="91" spans="1:5" x14ac:dyDescent="0.3">
      <c r="A91" s="110" t="s">
        <v>172</v>
      </c>
      <c r="B91" s="88">
        <f>COUNTIF($D$52:$ZZ$54,Support!A36)</f>
        <v>0</v>
      </c>
    </row>
    <row r="92" spans="1:5" x14ac:dyDescent="0.3">
      <c r="A92" s="110" t="s">
        <v>218</v>
      </c>
      <c r="B92" s="88">
        <f>COUNTIF($D$52:$ZZ$54,Support!A37)</f>
        <v>0</v>
      </c>
    </row>
    <row r="93" spans="1:5" x14ac:dyDescent="0.3">
      <c r="A93" s="110" t="s">
        <v>219</v>
      </c>
      <c r="B93" s="88">
        <f>COUNTIF($D$52:$ZZ$54,Support!A38)</f>
        <v>0</v>
      </c>
    </row>
    <row r="94" spans="1:5" x14ac:dyDescent="0.3">
      <c r="A94" s="110" t="s">
        <v>220</v>
      </c>
      <c r="B94" s="88">
        <f>COUNTIF($D$52:$ZZ$54,Support!A39)</f>
        <v>0</v>
      </c>
    </row>
    <row r="95" spans="1:5" x14ac:dyDescent="0.3">
      <c r="A95" s="110" t="s">
        <v>221</v>
      </c>
      <c r="B95" s="88">
        <f>COUNTIF($D$52:$ZZ$54,Support!A40)</f>
        <v>0</v>
      </c>
    </row>
    <row r="96" spans="1:5" x14ac:dyDescent="0.3">
      <c r="A96" s="110" t="s">
        <v>222</v>
      </c>
      <c r="B96" s="88">
        <f>COUNTIF($D$52:$ZZ$54,Support!A41)</f>
        <v>0</v>
      </c>
    </row>
    <row r="97" spans="1:2" x14ac:dyDescent="0.3">
      <c r="A97" s="110" t="s">
        <v>223</v>
      </c>
      <c r="B97" s="88">
        <f>COUNTIF($D$52:$ZZ$54,Support!A42)</f>
        <v>0</v>
      </c>
    </row>
    <row r="98" spans="1:2" x14ac:dyDescent="0.3">
      <c r="A98" s="29" t="s">
        <v>224</v>
      </c>
      <c r="B98" s="88">
        <f>COUNTIF($D$52:$ZZ$54,Support!A43)</f>
        <v>0</v>
      </c>
    </row>
  </sheetData>
  <mergeCells count="6">
    <mergeCell ref="C86:D86"/>
    <mergeCell ref="A1:C1"/>
    <mergeCell ref="C81:D81"/>
    <mergeCell ref="C83:D83"/>
    <mergeCell ref="C84:D84"/>
    <mergeCell ref="C85:D85"/>
  </mergeCells>
  <conditionalFormatting sqref="C40">
    <cfRule type="colorScale" priority="33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1">
    <cfRule type="colorScale" priority="22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3">
    <cfRule type="colorScale" priority="19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7:B98">
    <cfRule type="colorScale" priority="33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0:B32">
    <cfRule type="colorScale" priority="13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4:B46">
    <cfRule type="colorScale" priority="13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83:E86">
    <cfRule type="colorScale" priority="9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57:H77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57:I77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57:K77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57:L77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57:M77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57:N77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7:O77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1:AC51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57:F77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9:ZZ9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7:G77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57:J77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7:D77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1:R51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1:C11 G11:XFD11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0:ZZ10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0:ZZ50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51:C51 G51:XFD51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8:ZZ8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7:C17 G17:XFD17">
    <cfRule type="containsText" dxfId="31" priority="30" operator="containsText" text="Yes">
      <formula>NOT(ISERROR(SEARCH("Yes",A17)))</formula>
    </cfRule>
  </conditionalFormatting>
  <conditionalFormatting sqref="A27:C28 G27:XFD28">
    <cfRule type="containsText" dxfId="30" priority="29" operator="containsText" text="Yes">
      <formula>NOT(ISERROR(SEARCH("Yes",A27)))</formula>
    </cfRule>
  </conditionalFormatting>
  <conditionalFormatting sqref="B27:B28">
    <cfRule type="cellIs" dxfId="29" priority="28" operator="greaterThan">
      <formula>0</formula>
    </cfRule>
  </conditionalFormatting>
  <conditionalFormatting sqref="B52">
    <cfRule type="cellIs" dxfId="28" priority="27" operator="greaterThan">
      <formula>0</formula>
    </cfRule>
  </conditionalFormatting>
  <conditionalFormatting sqref="B8">
    <cfRule type="cellIs" dxfId="27" priority="26" operator="greaterThan">
      <formula>0</formula>
    </cfRule>
  </conditionalFormatting>
  <conditionalFormatting sqref="B34">
    <cfRule type="cellIs" dxfId="26" priority="25" operator="greaterThanOrEqual">
      <formula>1</formula>
    </cfRule>
  </conditionalFormatting>
  <conditionalFormatting sqref="B42">
    <cfRule type="cellIs" dxfId="25" priority="24" operator="greaterThan">
      <formula>0</formula>
    </cfRule>
  </conditionalFormatting>
  <conditionalFormatting sqref="B48">
    <cfRule type="cellIs" dxfId="24" priority="23" operator="greaterThan">
      <formula>0</formula>
    </cfRule>
  </conditionalFormatting>
  <conditionalFormatting sqref="A44:C48 G44:XFD48">
    <cfRule type="containsText" dxfId="23" priority="22" operator="containsText" text="Yes">
      <formula>NOT(ISERROR(SEARCH("Yes",A44)))</formula>
    </cfRule>
  </conditionalFormatting>
  <conditionalFormatting sqref="A27:C34 G27:XFD34">
    <cfRule type="containsText" dxfId="22" priority="21" operator="containsText" text="Yes">
      <formula>NOT(ISERROR(SEARCH("Yes",A27)))</formula>
    </cfRule>
  </conditionalFormatting>
  <conditionalFormatting sqref="A7:C7 G7:XFD7">
    <cfRule type="containsText" dxfId="21" priority="20" operator="containsText" text="High Risk">
      <formula>NOT(ISERROR(SEARCH("High Risk",A7)))</formula>
    </cfRule>
  </conditionalFormatting>
  <conditionalFormatting sqref="A42:C42 G42:XFD42">
    <cfRule type="containsText" dxfId="20" priority="19" operator="containsText" text="Yes">
      <formula>NOT(ISERROR(SEARCH("Yes",A42)))</formula>
    </cfRule>
  </conditionalFormatting>
  <conditionalFormatting sqref="G52:ZZ54">
    <cfRule type="notContainsBlanks" dxfId="19" priority="18">
      <formula>LEN(TRIM(G52))&gt;0</formula>
    </cfRule>
  </conditionalFormatting>
  <conditionalFormatting sqref="D51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9:F9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51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51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1:F11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:F10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0:F5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1:F5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:F8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7:F17">
    <cfRule type="containsText" dxfId="18" priority="8" operator="containsText" text="Yes">
      <formula>NOT(ISERROR(SEARCH("Yes",D17)))</formula>
    </cfRule>
  </conditionalFormatting>
  <conditionalFormatting sqref="D27:F28">
    <cfRule type="containsText" dxfId="17" priority="7" operator="containsText" text="Yes">
      <formula>NOT(ISERROR(SEARCH("Yes",D27)))</formula>
    </cfRule>
  </conditionalFormatting>
  <conditionalFormatting sqref="D44:F48">
    <cfRule type="containsText" dxfId="16" priority="6" operator="containsText" text="Yes">
      <formula>NOT(ISERROR(SEARCH("Yes",D44)))</formula>
    </cfRule>
  </conditionalFormatting>
  <conditionalFormatting sqref="D27:F34">
    <cfRule type="containsText" dxfId="15" priority="5" operator="containsText" text="Yes">
      <formula>NOT(ISERROR(SEARCH("Yes",D27)))</formula>
    </cfRule>
  </conditionalFormatting>
  <conditionalFormatting sqref="D7:F7">
    <cfRule type="containsText" dxfId="14" priority="4" operator="containsText" text="High Risk">
      <formula>NOT(ISERROR(SEARCH("High Risk",D7)))</formula>
    </cfRule>
  </conditionalFormatting>
  <conditionalFormatting sqref="D42:F42">
    <cfRule type="containsText" dxfId="13" priority="3" operator="containsText" text="Yes">
      <formula>NOT(ISERROR(SEARCH("Yes",D42)))</formula>
    </cfRule>
  </conditionalFormatting>
  <conditionalFormatting sqref="D52:F54">
    <cfRule type="notContainsBlanks" dxfId="12" priority="2">
      <formula>LEN(TRIM(D52))&gt;0</formula>
    </cfRule>
  </conditionalFormatting>
  <conditionalFormatting sqref="B16:B2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count="8">
    <dataValidation type="list" allowBlank="1" showInputMessage="1" showErrorMessage="1" sqref="AD35:FM35 AD34:BG34 AD31:FM33 AD42:FM42 AD44:FM46 AD26:FM29 D44:R46 D42:R42 D48:R48 D27:R35 G23:R25 D17:R17 D24:F25">
      <formula1>yesno</formula1>
    </dataValidation>
    <dataValidation type="list" allowBlank="1" showInputMessage="1" showErrorMessage="1" sqref="BH34:FM34">
      <formula1>level</formula1>
    </dataValidation>
    <dataValidation type="list" allowBlank="1" showInputMessage="1" showErrorMessage="1" sqref="AD4:FM8 AD37:FM41">
      <formula1>Jurisdictions</formula1>
    </dataValidation>
    <dataValidation type="list" allowBlank="1" showInputMessage="1" showErrorMessage="1" sqref="AD52:FM54 D52:R54">
      <formula1>sensetiveid</formula1>
    </dataValidation>
    <dataValidation type="list" allowBlank="1" showInputMessage="1" showErrorMessage="1" sqref="AD14:FM18 D13:R16">
      <formula1>legalid</formula1>
    </dataValidation>
    <dataValidation type="list" allowBlank="1" showInputMessage="1" showErrorMessage="1" sqref="D6:R6">
      <formula1>mgtclass</formula1>
    </dataValidation>
    <dataValidation type="list" allowBlank="1" showInputMessage="1" showErrorMessage="1" sqref="F18:R18 D4:R5 D37:R41 D19:F23">
      <formula1>countrylist</formula1>
    </dataValidation>
    <dataValidation type="list" allowBlank="1" showInputMessage="1" showErrorMessage="1" sqref="D7:R7">
      <formula1>Custrisk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Support!AA82:AA83</xm:f>
          </x14:formula1>
          <xm:sqref>AD48:FM48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topLeftCell="A10" zoomScale="70" zoomScaleNormal="70" workbookViewId="0">
      <selection activeCell="L37" sqref="L36:L37"/>
    </sheetView>
  </sheetViews>
  <sheetFormatPr defaultColWidth="9" defaultRowHeight="16.5" x14ac:dyDescent="0.3"/>
  <cols>
    <col min="1" max="1" width="28.5" style="1" customWidth="1"/>
    <col min="2" max="2" width="17" style="1" customWidth="1"/>
    <col min="3" max="3" width="15.5" style="1" customWidth="1"/>
    <col min="4" max="4" width="19.875" style="1" customWidth="1"/>
    <col min="5" max="5" width="14.125" style="1" customWidth="1"/>
    <col min="6" max="6" width="15.875" style="1" customWidth="1"/>
    <col min="7" max="7" width="21.75" style="1" customWidth="1"/>
    <col min="8" max="8" width="16.75" style="1" customWidth="1"/>
    <col min="9" max="9" width="13.5" style="1" customWidth="1"/>
    <col min="10" max="10" width="12.625" style="11" customWidth="1"/>
    <col min="11" max="11" width="3.5" style="117" customWidth="1"/>
    <col min="12" max="12" width="14.25" style="1" customWidth="1"/>
    <col min="13" max="13" width="16" style="1" customWidth="1"/>
    <col min="14" max="14" width="13.125" style="1" customWidth="1"/>
    <col min="15" max="15" width="15.375" style="1" customWidth="1"/>
    <col min="16" max="16384" width="9" style="1"/>
  </cols>
  <sheetData>
    <row r="1" spans="1:15" s="115" customFormat="1" ht="33" customHeight="1" thickBot="1" x14ac:dyDescent="0.35">
      <c r="A1" s="234" t="s">
        <v>225</v>
      </c>
      <c r="B1" s="234"/>
      <c r="C1" s="234"/>
      <c r="D1" s="140"/>
      <c r="E1" s="140"/>
      <c r="F1" s="140"/>
      <c r="G1" s="140"/>
      <c r="H1" s="117"/>
      <c r="I1" s="117"/>
      <c r="J1" s="117"/>
      <c r="K1" s="117"/>
      <c r="L1" s="117"/>
      <c r="M1" s="117"/>
      <c r="N1" s="117"/>
      <c r="O1" s="117"/>
    </row>
    <row r="2" spans="1:15" s="24" customFormat="1" ht="17.25" thickTop="1" x14ac:dyDescent="0.3">
      <c r="B2" s="25"/>
      <c r="C2" s="25"/>
      <c r="D2" s="141"/>
      <c r="E2" s="135"/>
      <c r="F2" s="141"/>
      <c r="G2" s="135"/>
      <c r="H2" s="135"/>
      <c r="I2" s="135"/>
      <c r="J2" s="135"/>
      <c r="K2" s="142"/>
      <c r="L2" s="135"/>
      <c r="M2" s="135"/>
      <c r="N2" s="135"/>
      <c r="O2" s="135"/>
    </row>
    <row r="3" spans="1:15" s="78" customFormat="1" ht="57" x14ac:dyDescent="0.3">
      <c r="A3" s="78" t="s">
        <v>226</v>
      </c>
      <c r="B3" s="78" t="s">
        <v>227</v>
      </c>
      <c r="C3" s="78" t="s">
        <v>228</v>
      </c>
      <c r="D3" s="78" t="s">
        <v>229</v>
      </c>
      <c r="E3" s="78" t="s">
        <v>230</v>
      </c>
      <c r="F3" s="78" t="s">
        <v>231</v>
      </c>
      <c r="G3" s="78" t="s">
        <v>232</v>
      </c>
      <c r="H3" s="78" t="s">
        <v>178</v>
      </c>
      <c r="I3" s="78" t="s">
        <v>233</v>
      </c>
      <c r="J3" s="78" t="s">
        <v>234</v>
      </c>
      <c r="K3" s="226"/>
      <c r="L3" s="78" t="s">
        <v>235</v>
      </c>
      <c r="M3" s="78" t="s">
        <v>236</v>
      </c>
      <c r="N3" s="78" t="s">
        <v>237</v>
      </c>
      <c r="O3" s="78" t="s">
        <v>238</v>
      </c>
    </row>
    <row r="4" spans="1:15" ht="17.25" x14ac:dyDescent="0.3">
      <c r="A4" s="218" t="s">
        <v>17</v>
      </c>
      <c r="B4" s="219" t="s">
        <v>69</v>
      </c>
      <c r="C4" s="219" t="s">
        <v>69</v>
      </c>
      <c r="D4" s="220">
        <v>0.6996</v>
      </c>
      <c r="E4" s="221">
        <f>1-D4</f>
        <v>0.3004</v>
      </c>
      <c r="F4" s="222" t="str">
        <f t="shared" ref="F4:F8" si="0">IF(D4&gt;=80%,"Lower",IF(D4&gt;=70%,"Med - Low",IF(D4&gt;=60%,"Med",IF(D4&gt;=40%,"Med - High","High"))))</f>
        <v>Med</v>
      </c>
      <c r="G4" s="222" t="str">
        <f t="shared" ref="G4" si="1">IF(OR(B4="Yes",C4="Yes"),"High",F4)</f>
        <v>Med</v>
      </c>
      <c r="H4" s="222">
        <f>(Customer!D57)</f>
        <v>0</v>
      </c>
      <c r="I4" s="222">
        <f>H4*E4</f>
        <v>0</v>
      </c>
      <c r="J4" s="223" t="e">
        <f t="shared" ref="J4:J31" si="2">I4/$I$32</f>
        <v>#DIV/0!</v>
      </c>
      <c r="K4" s="224"/>
      <c r="L4" s="225">
        <v>0</v>
      </c>
      <c r="M4" s="222">
        <f>Customer!M57</f>
        <v>0</v>
      </c>
      <c r="N4" s="222">
        <f t="shared" ref="N4:N30" si="3">M4*L4</f>
        <v>0</v>
      </c>
      <c r="O4" s="223" t="e">
        <f t="shared" ref="O4:O31" si="4">N4/$N$32</f>
        <v>#DIV/0!</v>
      </c>
    </row>
    <row r="5" spans="1:15" ht="17.25" x14ac:dyDescent="0.3">
      <c r="A5" s="29" t="s">
        <v>18</v>
      </c>
      <c r="B5" s="139" t="s">
        <v>69</v>
      </c>
      <c r="C5" s="139" t="s">
        <v>69</v>
      </c>
      <c r="D5" s="136">
        <v>0.72170000000000001</v>
      </c>
      <c r="E5" s="80">
        <f t="shared" ref="E5:E31" si="5">1-D5</f>
        <v>0.27829999999999999</v>
      </c>
      <c r="F5" s="79" t="str">
        <f t="shared" si="0"/>
        <v>Med - Low</v>
      </c>
      <c r="G5" s="79" t="str">
        <f>IF(OR(B5="Yes",C5="Yes"),"High",F5)</f>
        <v>Med - Low</v>
      </c>
      <c r="H5" s="79">
        <f>(Customer!D58)</f>
        <v>0</v>
      </c>
      <c r="I5" s="79">
        <f t="shared" ref="I5:I31" si="6">H5*E5</f>
        <v>0</v>
      </c>
      <c r="J5" s="81" t="e">
        <f t="shared" si="2"/>
        <v>#DIV/0!</v>
      </c>
      <c r="K5" s="137"/>
      <c r="L5" s="82">
        <v>0</v>
      </c>
      <c r="M5" s="79">
        <f>Customer!M58</f>
        <v>0</v>
      </c>
      <c r="N5" s="79">
        <f>M5*L5</f>
        <v>0</v>
      </c>
      <c r="O5" s="81" t="e">
        <f t="shared" si="4"/>
        <v>#DIV/0!</v>
      </c>
    </row>
    <row r="6" spans="1:15" ht="17.25" x14ac:dyDescent="0.3">
      <c r="A6" s="28" t="s">
        <v>279</v>
      </c>
      <c r="B6" s="139" t="s">
        <v>69</v>
      </c>
      <c r="C6" s="139" t="s">
        <v>69</v>
      </c>
      <c r="D6" s="136">
        <v>0.76390000000000002</v>
      </c>
      <c r="E6" s="80">
        <f t="shared" si="5"/>
        <v>0.23609999999999998</v>
      </c>
      <c r="F6" s="79" t="str">
        <f t="shared" si="0"/>
        <v>Med - Low</v>
      </c>
      <c r="G6" s="79" t="str">
        <f t="shared" ref="G6:G31" si="7">IF(OR(B6="Yes",C6="Yes"),"High",F6)</f>
        <v>Med - Low</v>
      </c>
      <c r="H6" s="79">
        <f>(Customer!D59)</f>
        <v>0</v>
      </c>
      <c r="I6" s="79">
        <f t="shared" si="6"/>
        <v>0</v>
      </c>
      <c r="J6" s="81" t="e">
        <f t="shared" si="2"/>
        <v>#DIV/0!</v>
      </c>
      <c r="K6" s="137"/>
      <c r="L6" s="82">
        <v>0.45</v>
      </c>
      <c r="M6" s="79">
        <f>Customer!M59</f>
        <v>0</v>
      </c>
      <c r="N6" s="79">
        <f t="shared" si="3"/>
        <v>0</v>
      </c>
      <c r="O6" s="81" t="e">
        <f t="shared" si="4"/>
        <v>#DIV/0!</v>
      </c>
    </row>
    <row r="7" spans="1:15" ht="17.25" x14ac:dyDescent="0.3">
      <c r="A7" s="28" t="s">
        <v>20</v>
      </c>
      <c r="B7" s="139" t="s">
        <v>69</v>
      </c>
      <c r="C7" s="139" t="s">
        <v>69</v>
      </c>
      <c r="D7" s="136">
        <v>0.78120000000000001</v>
      </c>
      <c r="E7" s="80">
        <f t="shared" si="5"/>
        <v>0.21879999999999999</v>
      </c>
      <c r="F7" s="79" t="str">
        <f t="shared" si="0"/>
        <v>Med - Low</v>
      </c>
      <c r="G7" s="79" t="str">
        <f t="shared" si="7"/>
        <v>Med - Low</v>
      </c>
      <c r="H7" s="79">
        <f>(Customer!D60)</f>
        <v>0</v>
      </c>
      <c r="I7" s="79">
        <f t="shared" si="6"/>
        <v>0</v>
      </c>
      <c r="J7" s="81" t="e">
        <f t="shared" si="2"/>
        <v>#DIV/0!</v>
      </c>
      <c r="K7" s="137"/>
      <c r="L7" s="82">
        <v>0.45</v>
      </c>
      <c r="M7" s="79">
        <f>Customer!M60</f>
        <v>0</v>
      </c>
      <c r="N7" s="79">
        <f t="shared" si="3"/>
        <v>0</v>
      </c>
      <c r="O7" s="81" t="e">
        <f t="shared" si="4"/>
        <v>#DIV/0!</v>
      </c>
    </row>
    <row r="8" spans="1:15" ht="17.25" x14ac:dyDescent="0.3">
      <c r="A8" s="28" t="s">
        <v>21</v>
      </c>
      <c r="B8" s="139" t="s">
        <v>69</v>
      </c>
      <c r="C8" s="139" t="s">
        <v>69</v>
      </c>
      <c r="D8" s="136">
        <v>0.73109999999999997</v>
      </c>
      <c r="E8" s="80">
        <f t="shared" si="5"/>
        <v>0.26890000000000003</v>
      </c>
      <c r="F8" s="79" t="str">
        <f t="shared" si="0"/>
        <v>Med - Low</v>
      </c>
      <c r="G8" s="79" t="str">
        <f t="shared" si="7"/>
        <v>Med - Low</v>
      </c>
      <c r="H8" s="79">
        <f>(Customer!D61)</f>
        <v>0</v>
      </c>
      <c r="I8" s="79">
        <f t="shared" si="6"/>
        <v>0</v>
      </c>
      <c r="J8" s="81" t="e">
        <f t="shared" si="2"/>
        <v>#DIV/0!</v>
      </c>
      <c r="K8" s="137"/>
      <c r="L8" s="82">
        <v>0.15</v>
      </c>
      <c r="M8" s="79">
        <f>Customer!M61</f>
        <v>0</v>
      </c>
      <c r="N8" s="79">
        <f t="shared" si="3"/>
        <v>0</v>
      </c>
      <c r="O8" s="81" t="e">
        <f t="shared" si="4"/>
        <v>#DIV/0!</v>
      </c>
    </row>
    <row r="9" spans="1:15" ht="17.25" x14ac:dyDescent="0.3">
      <c r="A9" s="28" t="s">
        <v>22</v>
      </c>
      <c r="B9" s="139" t="s">
        <v>69</v>
      </c>
      <c r="C9" s="139" t="s">
        <v>69</v>
      </c>
      <c r="D9" s="136">
        <v>0.57899999999999996</v>
      </c>
      <c r="E9" s="80">
        <f t="shared" si="5"/>
        <v>0.42100000000000004</v>
      </c>
      <c r="F9" s="79" t="str">
        <f>IF(D9&gt;=80%,"Lower",IF(D9&gt;=70%,"Med - Low",IF(D9&gt;=60%,"Med",IF(D9&gt;=40%,"Med - High","High"))))</f>
        <v>Med - High</v>
      </c>
      <c r="G9" s="79" t="str">
        <f t="shared" si="7"/>
        <v>Med - High</v>
      </c>
      <c r="H9" s="79">
        <f>(Customer!D62)</f>
        <v>0</v>
      </c>
      <c r="I9" s="79">
        <f t="shared" si="6"/>
        <v>0</v>
      </c>
      <c r="J9" s="81" t="e">
        <f t="shared" si="2"/>
        <v>#DIV/0!</v>
      </c>
      <c r="K9" s="137"/>
      <c r="L9" s="82">
        <v>0.3</v>
      </c>
      <c r="M9" s="79">
        <f>Customer!M62</f>
        <v>0</v>
      </c>
      <c r="N9" s="79">
        <f t="shared" si="3"/>
        <v>0</v>
      </c>
      <c r="O9" s="81" t="e">
        <f t="shared" si="4"/>
        <v>#DIV/0!</v>
      </c>
    </row>
    <row r="10" spans="1:15" ht="17.25" x14ac:dyDescent="0.3">
      <c r="A10" s="28" t="s">
        <v>23</v>
      </c>
      <c r="B10" s="139" t="s">
        <v>69</v>
      </c>
      <c r="C10" s="139" t="s">
        <v>69</v>
      </c>
      <c r="D10" s="136">
        <v>0.63080000000000003</v>
      </c>
      <c r="E10" s="80">
        <f t="shared" si="5"/>
        <v>0.36919999999999997</v>
      </c>
      <c r="F10" s="79" t="str">
        <f t="shared" ref="F10:F31" si="8">IF(D10&gt;=80%,"Lower",IF(D10&gt;=70%,"Med - Low",IF(D10&gt;=60%,"Med",IF(D10&gt;=40%,"Med - High","High"))))</f>
        <v>Med</v>
      </c>
      <c r="G10" s="79" t="str">
        <f t="shared" si="7"/>
        <v>Med</v>
      </c>
      <c r="H10" s="79">
        <f>(Customer!D63)</f>
        <v>0</v>
      </c>
      <c r="I10" s="79">
        <f t="shared" si="6"/>
        <v>0</v>
      </c>
      <c r="J10" s="81" t="e">
        <f t="shared" si="2"/>
        <v>#DIV/0!</v>
      </c>
      <c r="K10" s="137"/>
      <c r="L10" s="82">
        <v>0.4</v>
      </c>
      <c r="M10" s="79">
        <f>Customer!M63</f>
        <v>0</v>
      </c>
      <c r="N10" s="79">
        <f t="shared" si="3"/>
        <v>0</v>
      </c>
      <c r="O10" s="81" t="e">
        <f t="shared" si="4"/>
        <v>#DIV/0!</v>
      </c>
    </row>
    <row r="11" spans="1:15" ht="17.25" x14ac:dyDescent="0.3">
      <c r="A11" s="28" t="s">
        <v>280</v>
      </c>
      <c r="B11" s="139" t="s">
        <v>69</v>
      </c>
      <c r="C11" s="139" t="s">
        <v>69</v>
      </c>
      <c r="D11" s="136">
        <v>0.65880000000000005</v>
      </c>
      <c r="E11" s="80">
        <f t="shared" si="5"/>
        <v>0.34119999999999995</v>
      </c>
      <c r="F11" s="79" t="str">
        <f t="shared" si="8"/>
        <v>Med</v>
      </c>
      <c r="G11" s="79" t="str">
        <f t="shared" si="7"/>
        <v>Med</v>
      </c>
      <c r="H11" s="79">
        <f>(Customer!D64)</f>
        <v>0</v>
      </c>
      <c r="I11" s="79">
        <f t="shared" si="6"/>
        <v>0</v>
      </c>
      <c r="J11" s="81" t="e">
        <f t="shared" si="2"/>
        <v>#DIV/0!</v>
      </c>
      <c r="K11" s="137"/>
      <c r="L11" s="82">
        <v>0.26</v>
      </c>
      <c r="M11" s="79">
        <f>Customer!M64</f>
        <v>0</v>
      </c>
      <c r="N11" s="79">
        <f t="shared" si="3"/>
        <v>0</v>
      </c>
      <c r="O11" s="81" t="e">
        <f t="shared" si="4"/>
        <v>#DIV/0!</v>
      </c>
    </row>
    <row r="12" spans="1:15" ht="17.25" x14ac:dyDescent="0.3">
      <c r="A12" s="28" t="s">
        <v>25</v>
      </c>
      <c r="B12" s="139" t="s">
        <v>69</v>
      </c>
      <c r="C12" s="139" t="s">
        <v>69</v>
      </c>
      <c r="D12" s="136">
        <v>0.52249999999999996</v>
      </c>
      <c r="E12" s="80">
        <f t="shared" si="5"/>
        <v>0.47750000000000004</v>
      </c>
      <c r="F12" s="79" t="str">
        <f t="shared" si="8"/>
        <v>Med - High</v>
      </c>
      <c r="G12" s="79" t="str">
        <f t="shared" si="7"/>
        <v>Med - High</v>
      </c>
      <c r="H12" s="79">
        <f>(Customer!D65)</f>
        <v>0</v>
      </c>
      <c r="I12" s="79">
        <f t="shared" si="6"/>
        <v>0</v>
      </c>
      <c r="J12" s="81" t="e">
        <f t="shared" si="2"/>
        <v>#DIV/0!</v>
      </c>
      <c r="K12" s="137"/>
      <c r="L12" s="82">
        <v>0.13</v>
      </c>
      <c r="M12" s="79">
        <f>Customer!M65</f>
        <v>0</v>
      </c>
      <c r="N12" s="79">
        <f t="shared" si="3"/>
        <v>0</v>
      </c>
      <c r="O12" s="81" t="e">
        <f t="shared" si="4"/>
        <v>#DIV/0!</v>
      </c>
    </row>
    <row r="13" spans="1:15" ht="17.25" x14ac:dyDescent="0.3">
      <c r="A13" s="28" t="s">
        <v>26</v>
      </c>
      <c r="B13" s="139" t="s">
        <v>69</v>
      </c>
      <c r="C13" s="139" t="s">
        <v>69</v>
      </c>
      <c r="D13" s="136">
        <v>0.745</v>
      </c>
      <c r="E13" s="80">
        <f t="shared" si="5"/>
        <v>0.255</v>
      </c>
      <c r="F13" s="79" t="str">
        <f t="shared" si="8"/>
        <v>Med - Low</v>
      </c>
      <c r="G13" s="79" t="str">
        <f t="shared" si="7"/>
        <v>Med - Low</v>
      </c>
      <c r="H13" s="79">
        <f>(Customer!D66)</f>
        <v>0</v>
      </c>
      <c r="I13" s="79">
        <f t="shared" si="6"/>
        <v>0</v>
      </c>
      <c r="J13" s="81" t="e">
        <f t="shared" si="2"/>
        <v>#DIV/0!</v>
      </c>
      <c r="K13" s="137"/>
      <c r="L13" s="82">
        <v>0.2</v>
      </c>
      <c r="M13" s="79">
        <f>Customer!M66</f>
        <v>0</v>
      </c>
      <c r="N13" s="79">
        <f t="shared" si="3"/>
        <v>0</v>
      </c>
      <c r="O13" s="81" t="e">
        <f t="shared" si="4"/>
        <v>#DIV/0!</v>
      </c>
    </row>
    <row r="14" spans="1:15" ht="17.25" x14ac:dyDescent="0.3">
      <c r="A14" s="40" t="s">
        <v>27</v>
      </c>
      <c r="B14" s="139" t="s">
        <v>69</v>
      </c>
      <c r="C14" s="139" t="s">
        <v>69</v>
      </c>
      <c r="D14" s="136">
        <v>0.751</v>
      </c>
      <c r="E14" s="80">
        <f t="shared" si="5"/>
        <v>0.249</v>
      </c>
      <c r="F14" s="79" t="str">
        <f t="shared" si="8"/>
        <v>Med - Low</v>
      </c>
      <c r="G14" s="79" t="str">
        <f t="shared" si="7"/>
        <v>Med - Low</v>
      </c>
      <c r="H14" s="79">
        <f>(Customer!D67)</f>
        <v>0</v>
      </c>
      <c r="I14" s="79">
        <f t="shared" si="6"/>
        <v>0</v>
      </c>
      <c r="J14" s="81" t="e">
        <f t="shared" si="2"/>
        <v>#DIV/0!</v>
      </c>
      <c r="K14" s="137"/>
      <c r="L14" s="83">
        <v>0.13200000000000001</v>
      </c>
      <c r="M14" s="79">
        <f>Customer!M67</f>
        <v>0</v>
      </c>
      <c r="N14" s="79">
        <f t="shared" si="3"/>
        <v>0</v>
      </c>
      <c r="O14" s="81" t="e">
        <f t="shared" si="4"/>
        <v>#DIV/0!</v>
      </c>
    </row>
    <row r="15" spans="1:15" ht="17.25" x14ac:dyDescent="0.3">
      <c r="A15" s="29" t="s">
        <v>28</v>
      </c>
      <c r="B15" s="139" t="s">
        <v>69</v>
      </c>
      <c r="C15" s="139" t="s">
        <v>69</v>
      </c>
      <c r="D15" s="136">
        <v>0.63580000000000003</v>
      </c>
      <c r="E15" s="80">
        <f t="shared" si="5"/>
        <v>0.36419999999999997</v>
      </c>
      <c r="F15" s="79" t="str">
        <f t="shared" si="8"/>
        <v>Med</v>
      </c>
      <c r="G15" s="79" t="str">
        <f t="shared" si="7"/>
        <v>Med</v>
      </c>
      <c r="H15" s="79">
        <f>(Customer!D68)</f>
        <v>0</v>
      </c>
      <c r="I15" s="79">
        <f t="shared" si="6"/>
        <v>0</v>
      </c>
      <c r="J15" s="81" t="e">
        <f t="shared" si="2"/>
        <v>#DIV/0!</v>
      </c>
      <c r="K15" s="137"/>
      <c r="L15" s="82">
        <v>0.4</v>
      </c>
      <c r="M15" s="79">
        <f>Customer!M68</f>
        <v>0</v>
      </c>
      <c r="N15" s="79">
        <f t="shared" si="3"/>
        <v>0</v>
      </c>
      <c r="O15" s="81" t="e">
        <f t="shared" si="4"/>
        <v>#DIV/0!</v>
      </c>
    </row>
    <row r="16" spans="1:15" ht="17.25" x14ac:dyDescent="0.3">
      <c r="A16" s="28" t="s">
        <v>281</v>
      </c>
      <c r="B16" s="139" t="s">
        <v>69</v>
      </c>
      <c r="C16" s="139" t="s">
        <v>69</v>
      </c>
      <c r="D16" s="136">
        <v>0.59919999999999995</v>
      </c>
      <c r="E16" s="80">
        <f t="shared" si="5"/>
        <v>0.40080000000000005</v>
      </c>
      <c r="F16" s="79" t="str">
        <f t="shared" si="8"/>
        <v>Med - High</v>
      </c>
      <c r="G16" s="79" t="str">
        <f t="shared" si="7"/>
        <v>Med - High</v>
      </c>
      <c r="H16" s="79">
        <f>(Customer!D69)</f>
        <v>0</v>
      </c>
      <c r="I16" s="79">
        <f t="shared" si="6"/>
        <v>0</v>
      </c>
      <c r="J16" s="81" t="e">
        <f t="shared" si="2"/>
        <v>#DIV/0!</v>
      </c>
      <c r="K16" s="137"/>
      <c r="L16" s="82">
        <v>0.35</v>
      </c>
      <c r="M16" s="79">
        <f>Customer!M69</f>
        <v>0</v>
      </c>
      <c r="N16" s="79">
        <f t="shared" si="3"/>
        <v>0</v>
      </c>
      <c r="O16" s="81" t="e">
        <f t="shared" si="4"/>
        <v>#DIV/0!</v>
      </c>
    </row>
    <row r="17" spans="1:15" ht="17.25" x14ac:dyDescent="0.3">
      <c r="A17" s="29" t="s">
        <v>30</v>
      </c>
      <c r="B17" s="139" t="s">
        <v>69</v>
      </c>
      <c r="C17" s="139" t="s">
        <v>69</v>
      </c>
      <c r="D17" s="136">
        <v>0.65129999999999999</v>
      </c>
      <c r="E17" s="80">
        <f t="shared" si="5"/>
        <v>0.34870000000000001</v>
      </c>
      <c r="F17" s="79" t="str">
        <f t="shared" si="8"/>
        <v>Med</v>
      </c>
      <c r="G17" s="79" t="str">
        <f t="shared" si="7"/>
        <v>Med</v>
      </c>
      <c r="H17" s="79">
        <f>(Customer!D70)</f>
        <v>0</v>
      </c>
      <c r="I17" s="79">
        <f t="shared" si="6"/>
        <v>0</v>
      </c>
      <c r="J17" s="81" t="e">
        <f t="shared" si="2"/>
        <v>#DIV/0!</v>
      </c>
      <c r="K17" s="137"/>
      <c r="L17" s="82">
        <v>0</v>
      </c>
      <c r="M17" s="79">
        <f>Customer!M70</f>
        <v>0</v>
      </c>
      <c r="N17" s="79">
        <f t="shared" si="3"/>
        <v>0</v>
      </c>
      <c r="O17" s="81" t="e">
        <f t="shared" si="4"/>
        <v>#DIV/0!</v>
      </c>
    </row>
    <row r="18" spans="1:15" ht="17.25" x14ac:dyDescent="0.3">
      <c r="A18" s="28" t="s">
        <v>31</v>
      </c>
      <c r="B18" s="139" t="s">
        <v>69</v>
      </c>
      <c r="C18" s="139" t="s">
        <v>69</v>
      </c>
      <c r="D18" s="136">
        <v>0.77839999999999998</v>
      </c>
      <c r="E18" s="80">
        <f t="shared" si="5"/>
        <v>0.22160000000000002</v>
      </c>
      <c r="F18" s="79" t="str">
        <f t="shared" si="8"/>
        <v>Med - Low</v>
      </c>
      <c r="G18" s="79" t="str">
        <f t="shared" si="7"/>
        <v>Med - Low</v>
      </c>
      <c r="H18" s="79">
        <f>(Customer!D71)</f>
        <v>0</v>
      </c>
      <c r="I18" s="79">
        <f t="shared" si="6"/>
        <v>0</v>
      </c>
      <c r="J18" s="81" t="e">
        <f t="shared" si="2"/>
        <v>#DIV/0!</v>
      </c>
      <c r="K18" s="137"/>
      <c r="L18" s="82">
        <v>0.45</v>
      </c>
      <c r="M18" s="79">
        <f>Customer!M71</f>
        <v>0</v>
      </c>
      <c r="N18" s="79">
        <f t="shared" si="3"/>
        <v>0</v>
      </c>
      <c r="O18" s="81" t="e">
        <f t="shared" si="4"/>
        <v>#DIV/0!</v>
      </c>
    </row>
    <row r="19" spans="1:15" ht="17.25" x14ac:dyDescent="0.3">
      <c r="A19" s="29" t="s">
        <v>32</v>
      </c>
      <c r="B19" s="139" t="s">
        <v>69</v>
      </c>
      <c r="C19" s="139" t="s">
        <v>69</v>
      </c>
      <c r="D19" s="136">
        <v>0.76619999999999999</v>
      </c>
      <c r="E19" s="80">
        <f t="shared" si="5"/>
        <v>0.23380000000000001</v>
      </c>
      <c r="F19" s="79" t="str">
        <f t="shared" si="8"/>
        <v>Med - Low</v>
      </c>
      <c r="G19" s="79" t="str">
        <f t="shared" si="7"/>
        <v>Med - Low</v>
      </c>
      <c r="H19" s="79">
        <f>(Customer!D72)</f>
        <v>0</v>
      </c>
      <c r="I19" s="79">
        <f t="shared" si="6"/>
        <v>0</v>
      </c>
      <c r="J19" s="81" t="e">
        <f t="shared" si="2"/>
        <v>#DIV/0!</v>
      </c>
      <c r="K19" s="137"/>
      <c r="L19" s="84">
        <v>0.55900000000000005</v>
      </c>
      <c r="M19" s="79">
        <f>Customer!M72</f>
        <v>0</v>
      </c>
      <c r="N19" s="79">
        <f t="shared" si="3"/>
        <v>0</v>
      </c>
      <c r="O19" s="81" t="e">
        <f t="shared" si="4"/>
        <v>#DIV/0!</v>
      </c>
    </row>
    <row r="20" spans="1:15" x14ac:dyDescent="0.3">
      <c r="A20" s="79"/>
      <c r="B20" s="79"/>
      <c r="C20" s="79"/>
      <c r="D20" s="79"/>
      <c r="E20" s="80">
        <f t="shared" si="5"/>
        <v>1</v>
      </c>
      <c r="F20" s="79" t="str">
        <f t="shared" si="8"/>
        <v>High</v>
      </c>
      <c r="G20" s="79" t="str">
        <f t="shared" si="7"/>
        <v>High</v>
      </c>
      <c r="H20" s="79">
        <f>(Customer!D68)</f>
        <v>0</v>
      </c>
      <c r="I20" s="79">
        <f t="shared" ref="I20:I24" si="9">H20*E20</f>
        <v>0</v>
      </c>
      <c r="J20" s="81" t="e">
        <f t="shared" si="2"/>
        <v>#DIV/0!</v>
      </c>
      <c r="K20" s="137"/>
      <c r="L20" s="82"/>
      <c r="M20" s="79">
        <f>Customer!M73</f>
        <v>0</v>
      </c>
      <c r="N20" s="79">
        <f t="shared" ref="N20:N23" si="10">M20*L20</f>
        <v>0</v>
      </c>
      <c r="O20" s="81" t="e">
        <f t="shared" si="4"/>
        <v>#DIV/0!</v>
      </c>
    </row>
    <row r="21" spans="1:15" x14ac:dyDescent="0.3">
      <c r="A21" s="79"/>
      <c r="B21" s="79"/>
      <c r="C21" s="79"/>
      <c r="D21" s="79"/>
      <c r="E21" s="80">
        <f t="shared" si="5"/>
        <v>1</v>
      </c>
      <c r="F21" s="79" t="str">
        <f t="shared" si="8"/>
        <v>High</v>
      </c>
      <c r="G21" s="79" t="str">
        <f t="shared" si="7"/>
        <v>High</v>
      </c>
      <c r="H21" s="79">
        <f>(Customer!D69)</f>
        <v>0</v>
      </c>
      <c r="I21" s="79">
        <f t="shared" si="9"/>
        <v>0</v>
      </c>
      <c r="J21" s="81" t="e">
        <f t="shared" si="2"/>
        <v>#DIV/0!</v>
      </c>
      <c r="K21" s="137"/>
      <c r="L21" s="82"/>
      <c r="M21" s="79">
        <f>Customer!M74</f>
        <v>0</v>
      </c>
      <c r="N21" s="79">
        <f t="shared" si="10"/>
        <v>0</v>
      </c>
      <c r="O21" s="81" t="e">
        <f t="shared" si="4"/>
        <v>#DIV/0!</v>
      </c>
    </row>
    <row r="22" spans="1:15" x14ac:dyDescent="0.3">
      <c r="A22" s="79"/>
      <c r="B22" s="79"/>
      <c r="C22" s="79"/>
      <c r="D22" s="79"/>
      <c r="E22" s="80">
        <f t="shared" si="5"/>
        <v>1</v>
      </c>
      <c r="F22" s="79" t="str">
        <f t="shared" si="8"/>
        <v>High</v>
      </c>
      <c r="G22" s="79" t="str">
        <f t="shared" si="7"/>
        <v>High</v>
      </c>
      <c r="H22" s="79">
        <f>(Customer!D70)</f>
        <v>0</v>
      </c>
      <c r="I22" s="79">
        <f t="shared" si="9"/>
        <v>0</v>
      </c>
      <c r="J22" s="81" t="e">
        <f t="shared" si="2"/>
        <v>#DIV/0!</v>
      </c>
      <c r="K22" s="137"/>
      <c r="L22" s="82"/>
      <c r="M22" s="79">
        <f>Customer!M75</f>
        <v>0</v>
      </c>
      <c r="N22" s="79">
        <f t="shared" si="10"/>
        <v>0</v>
      </c>
      <c r="O22" s="81" t="e">
        <f t="shared" si="4"/>
        <v>#DIV/0!</v>
      </c>
    </row>
    <row r="23" spans="1:15" x14ac:dyDescent="0.3">
      <c r="A23" s="79"/>
      <c r="B23" s="79"/>
      <c r="C23" s="79"/>
      <c r="D23" s="79"/>
      <c r="E23" s="80">
        <f t="shared" si="5"/>
        <v>1</v>
      </c>
      <c r="F23" s="79" t="str">
        <f t="shared" si="8"/>
        <v>High</v>
      </c>
      <c r="G23" s="79" t="str">
        <f t="shared" si="7"/>
        <v>High</v>
      </c>
      <c r="H23" s="79">
        <f>(Customer!D71)</f>
        <v>0</v>
      </c>
      <c r="I23" s="79">
        <f t="shared" si="9"/>
        <v>0</v>
      </c>
      <c r="J23" s="81" t="e">
        <f t="shared" si="2"/>
        <v>#DIV/0!</v>
      </c>
      <c r="K23" s="137"/>
      <c r="L23" s="82"/>
      <c r="M23" s="79">
        <f>Customer!M76</f>
        <v>0</v>
      </c>
      <c r="N23" s="79">
        <f t="shared" si="10"/>
        <v>0</v>
      </c>
      <c r="O23" s="81" t="e">
        <f t="shared" si="4"/>
        <v>#DIV/0!</v>
      </c>
    </row>
    <row r="24" spans="1:15" x14ac:dyDescent="0.3">
      <c r="A24" s="79"/>
      <c r="B24" s="79"/>
      <c r="C24" s="79"/>
      <c r="D24" s="79"/>
      <c r="E24" s="80">
        <f t="shared" si="5"/>
        <v>1</v>
      </c>
      <c r="F24" s="79" t="str">
        <f t="shared" si="8"/>
        <v>High</v>
      </c>
      <c r="G24" s="79" t="str">
        <f t="shared" si="7"/>
        <v>High</v>
      </c>
      <c r="H24" s="79">
        <f>(Customer!D72)</f>
        <v>0</v>
      </c>
      <c r="I24" s="79">
        <f t="shared" si="9"/>
        <v>0</v>
      </c>
      <c r="J24" s="81" t="e">
        <f t="shared" si="2"/>
        <v>#DIV/0!</v>
      </c>
      <c r="K24" s="137"/>
      <c r="L24" s="82"/>
      <c r="M24" s="79">
        <f>Customer!M77</f>
        <v>0</v>
      </c>
      <c r="N24" s="79">
        <f>M24*L24</f>
        <v>0</v>
      </c>
      <c r="O24" s="81" t="e">
        <f t="shared" si="4"/>
        <v>#DIV/0!</v>
      </c>
    </row>
    <row r="25" spans="1:15" x14ac:dyDescent="0.3">
      <c r="A25" s="79"/>
      <c r="B25" s="79"/>
      <c r="C25" s="79"/>
      <c r="D25" s="79"/>
      <c r="E25" s="80">
        <f t="shared" si="5"/>
        <v>1</v>
      </c>
      <c r="F25" s="79" t="str">
        <f t="shared" si="8"/>
        <v>High</v>
      </c>
      <c r="G25" s="79" t="str">
        <f t="shared" si="7"/>
        <v>High</v>
      </c>
      <c r="H25" s="79">
        <f>(Customer!D73)</f>
        <v>0</v>
      </c>
      <c r="I25" s="79">
        <f t="shared" si="6"/>
        <v>0</v>
      </c>
      <c r="J25" s="81" t="e">
        <f t="shared" si="2"/>
        <v>#DIV/0!</v>
      </c>
      <c r="K25" s="137"/>
      <c r="L25" s="82"/>
      <c r="M25" s="79">
        <f>Customer!M78</f>
        <v>0</v>
      </c>
      <c r="N25" s="79">
        <f t="shared" si="3"/>
        <v>0</v>
      </c>
      <c r="O25" s="81" t="e">
        <f t="shared" si="4"/>
        <v>#DIV/0!</v>
      </c>
    </row>
    <row r="26" spans="1:15" x14ac:dyDescent="0.3">
      <c r="A26" s="79"/>
      <c r="B26" s="79"/>
      <c r="C26" s="79"/>
      <c r="D26" s="79"/>
      <c r="E26" s="80">
        <f t="shared" si="5"/>
        <v>1</v>
      </c>
      <c r="F26" s="79" t="str">
        <f t="shared" si="8"/>
        <v>High</v>
      </c>
      <c r="G26" s="79" t="str">
        <f t="shared" si="7"/>
        <v>High</v>
      </c>
      <c r="H26" s="79">
        <f>(Customer!D74)</f>
        <v>0</v>
      </c>
      <c r="I26" s="79">
        <f t="shared" si="6"/>
        <v>0</v>
      </c>
      <c r="J26" s="81" t="e">
        <f t="shared" si="2"/>
        <v>#DIV/0!</v>
      </c>
      <c r="K26" s="137"/>
      <c r="L26" s="82"/>
      <c r="M26" s="79">
        <f>Customer!M79</f>
        <v>0</v>
      </c>
      <c r="N26" s="79">
        <f t="shared" si="3"/>
        <v>0</v>
      </c>
      <c r="O26" s="81" t="e">
        <f t="shared" si="4"/>
        <v>#DIV/0!</v>
      </c>
    </row>
    <row r="27" spans="1:15" x14ac:dyDescent="0.3">
      <c r="A27" s="79"/>
      <c r="B27" s="79"/>
      <c r="C27" s="79"/>
      <c r="D27" s="79"/>
      <c r="E27" s="80">
        <f t="shared" si="5"/>
        <v>1</v>
      </c>
      <c r="F27" s="79" t="str">
        <f t="shared" si="8"/>
        <v>High</v>
      </c>
      <c r="G27" s="79" t="str">
        <f t="shared" si="7"/>
        <v>High</v>
      </c>
      <c r="H27" s="79">
        <f>(Customer!D75)</f>
        <v>0</v>
      </c>
      <c r="I27" s="79">
        <f t="shared" si="6"/>
        <v>0</v>
      </c>
      <c r="J27" s="81" t="e">
        <f t="shared" si="2"/>
        <v>#DIV/0!</v>
      </c>
      <c r="K27" s="137"/>
      <c r="L27" s="82"/>
      <c r="M27" s="79">
        <f>Customer!M80</f>
        <v>0</v>
      </c>
      <c r="N27" s="79">
        <f t="shared" si="3"/>
        <v>0</v>
      </c>
      <c r="O27" s="81" t="e">
        <f t="shared" si="4"/>
        <v>#DIV/0!</v>
      </c>
    </row>
    <row r="28" spans="1:15" x14ac:dyDescent="0.3">
      <c r="A28" s="79"/>
      <c r="B28" s="79"/>
      <c r="C28" s="79"/>
      <c r="D28" s="79"/>
      <c r="E28" s="80">
        <f t="shared" si="5"/>
        <v>1</v>
      </c>
      <c r="F28" s="79" t="str">
        <f t="shared" si="8"/>
        <v>High</v>
      </c>
      <c r="G28" s="79" t="str">
        <f t="shared" si="7"/>
        <v>High</v>
      </c>
      <c r="H28" s="79">
        <f>(Customer!D74)</f>
        <v>0</v>
      </c>
      <c r="I28" s="79">
        <f t="shared" si="6"/>
        <v>0</v>
      </c>
      <c r="J28" s="81" t="e">
        <f t="shared" si="2"/>
        <v>#DIV/0!</v>
      </c>
      <c r="K28" s="137"/>
      <c r="L28" s="82"/>
      <c r="M28" s="79">
        <f>Customer!M79</f>
        <v>0</v>
      </c>
      <c r="N28" s="79">
        <f t="shared" si="3"/>
        <v>0</v>
      </c>
      <c r="O28" s="81" t="e">
        <f t="shared" si="4"/>
        <v>#DIV/0!</v>
      </c>
    </row>
    <row r="29" spans="1:15" x14ac:dyDescent="0.3">
      <c r="A29" s="79"/>
      <c r="B29" s="79"/>
      <c r="C29" s="79"/>
      <c r="D29" s="79"/>
      <c r="E29" s="80">
        <f t="shared" ref="E29" si="11">1-D29</f>
        <v>1</v>
      </c>
      <c r="F29" s="79" t="str">
        <f t="shared" ref="F29" si="12">IF(D29&gt;=80%,"Lower",IF(D29&gt;=70%,"Med - Low",IF(D29&gt;=60%,"Med",IF(D29&gt;=40%,"Med - High","High"))))</f>
        <v>High</v>
      </c>
      <c r="G29" s="79" t="str">
        <f t="shared" ref="G29" si="13">IF(OR(B29="Yes",C29="Yes"),"High",F29)</f>
        <v>High</v>
      </c>
      <c r="H29" s="79">
        <f>(Customer!D75)</f>
        <v>0</v>
      </c>
      <c r="I29" s="79">
        <f t="shared" ref="I29" si="14">H29*E29</f>
        <v>0</v>
      </c>
      <c r="J29" s="81" t="e">
        <f t="shared" si="2"/>
        <v>#DIV/0!</v>
      </c>
      <c r="K29" s="137"/>
      <c r="L29" s="82"/>
      <c r="M29" s="79">
        <f>Customer!M80</f>
        <v>0</v>
      </c>
      <c r="N29" s="79">
        <f t="shared" ref="N29" si="15">M29*L29</f>
        <v>0</v>
      </c>
      <c r="O29" s="81" t="e">
        <f t="shared" si="4"/>
        <v>#DIV/0!</v>
      </c>
    </row>
    <row r="30" spans="1:15" x14ac:dyDescent="0.3">
      <c r="A30" s="79"/>
      <c r="B30" s="79"/>
      <c r="C30" s="79"/>
      <c r="D30" s="79"/>
      <c r="E30" s="80">
        <f t="shared" si="5"/>
        <v>1</v>
      </c>
      <c r="F30" s="79" t="str">
        <f t="shared" si="8"/>
        <v>High</v>
      </c>
      <c r="G30" s="79" t="str">
        <f t="shared" si="7"/>
        <v>High</v>
      </c>
      <c r="H30" s="79">
        <f>(Customer!D76)</f>
        <v>0</v>
      </c>
      <c r="I30" s="79">
        <f t="shared" si="6"/>
        <v>0</v>
      </c>
      <c r="J30" s="81" t="e">
        <f t="shared" si="2"/>
        <v>#DIV/0!</v>
      </c>
      <c r="K30" s="137"/>
      <c r="L30" s="82"/>
      <c r="M30" s="79">
        <f>Customer!M81</f>
        <v>0</v>
      </c>
      <c r="N30" s="79">
        <f t="shared" si="3"/>
        <v>0</v>
      </c>
      <c r="O30" s="81" t="e">
        <f t="shared" si="4"/>
        <v>#DIV/0!</v>
      </c>
    </row>
    <row r="31" spans="1:15" x14ac:dyDescent="0.3">
      <c r="A31" s="79"/>
      <c r="B31" s="79" t="s">
        <v>70</v>
      </c>
      <c r="C31" s="79" t="s">
        <v>70</v>
      </c>
      <c r="D31" s="79"/>
      <c r="E31" s="80">
        <f t="shared" si="5"/>
        <v>1</v>
      </c>
      <c r="F31" s="79" t="str">
        <f t="shared" si="8"/>
        <v>High</v>
      </c>
      <c r="G31" s="79" t="str">
        <f t="shared" si="7"/>
        <v>High</v>
      </c>
      <c r="H31" s="79">
        <f>(Customer!D77)</f>
        <v>0</v>
      </c>
      <c r="I31" s="79">
        <f t="shared" si="6"/>
        <v>0</v>
      </c>
      <c r="J31" s="81" t="e">
        <f t="shared" si="2"/>
        <v>#DIV/0!</v>
      </c>
      <c r="K31" s="137"/>
      <c r="L31" s="82"/>
      <c r="M31" s="79">
        <f>Customer!M82</f>
        <v>0</v>
      </c>
      <c r="N31" s="79">
        <f>M31*L31</f>
        <v>0</v>
      </c>
      <c r="O31" s="81" t="e">
        <f t="shared" si="4"/>
        <v>#DIV/0!</v>
      </c>
    </row>
    <row r="32" spans="1:15" s="2" customFormat="1" x14ac:dyDescent="0.3">
      <c r="A32" s="85" t="s">
        <v>233</v>
      </c>
      <c r="B32" s="85"/>
      <c r="C32" s="85"/>
      <c r="D32" s="85"/>
      <c r="E32" s="85"/>
      <c r="F32" s="85"/>
      <c r="G32" s="85"/>
      <c r="H32" s="85">
        <f>SUM(H4:H31)</f>
        <v>0</v>
      </c>
      <c r="I32" s="85">
        <f>SUM(I4:I31)</f>
        <v>0</v>
      </c>
      <c r="J32" s="85"/>
      <c r="K32" s="138"/>
      <c r="L32" s="85"/>
      <c r="M32" s="85">
        <f>SUM(M4:M31)</f>
        <v>0</v>
      </c>
      <c r="N32" s="85">
        <f>SUM(N4:N31)</f>
        <v>0</v>
      </c>
      <c r="O32" s="85"/>
    </row>
  </sheetData>
  <mergeCells count="1">
    <mergeCell ref="A1:C1"/>
  </mergeCells>
  <conditionalFormatting sqref="J4:K19 J25:K27 J30:K31">
    <cfRule type="colorScale" priority="52">
      <colorScale>
        <cfvo type="percent" val="1"/>
        <cfvo type="percentile" val="60"/>
        <cfvo type="percentile" val="90"/>
        <color rgb="FF63BE7B"/>
        <color rgb="FFFFEB84"/>
        <color rgb="FFF8696B"/>
      </colorScale>
    </cfRule>
  </conditionalFormatting>
  <conditionalFormatting sqref="J4:K19 J25:K27 J30:K31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19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:N19 N25:N27 N30:N31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:O19 O25:O27 O30:O31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4:H19 H25:H27 H30:H31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4:I19 I25:I27 I30:I31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:E19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:D19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9 L25:L27 L30:L32">
    <cfRule type="colorScale" priority="33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19 L25:L27 L30:L31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0:K24">
    <cfRule type="colorScale" priority="36">
      <colorScale>
        <cfvo type="percent" val="1"/>
        <cfvo type="percentile" val="60"/>
        <cfvo type="percentile" val="90"/>
        <color rgb="FF63BE7B"/>
        <color rgb="FFFFEB84"/>
        <color rgb="FFF8696B"/>
      </colorScale>
    </cfRule>
  </conditionalFormatting>
  <conditionalFormatting sqref="J20:K24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0:N24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0:O24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0:H24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0:I24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0:L24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0:L24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0:E27 E30:E3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0:M27 M30:M31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9:K29">
    <cfRule type="colorScale" priority="25">
      <colorScale>
        <cfvo type="percent" val="1"/>
        <cfvo type="percentile" val="60"/>
        <cfvo type="percentile" val="90"/>
        <color rgb="FF63BE7B"/>
        <color rgb="FFFFEB84"/>
        <color rgb="FFF8696B"/>
      </colorScale>
    </cfRule>
  </conditionalFormatting>
  <conditionalFormatting sqref="J29:K29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9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9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9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9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8:K28">
    <cfRule type="colorScale" priority="15">
      <colorScale>
        <cfvo type="percent" val="1"/>
        <cfvo type="percentile" val="60"/>
        <cfvo type="percentile" val="90"/>
        <color rgb="FF63BE7B"/>
        <color rgb="FFFFEB84"/>
        <color rgb="FFF8696B"/>
      </colorScale>
    </cfRule>
  </conditionalFormatting>
  <conditionalFormatting sqref="J28:K28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8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8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8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8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8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8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8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:E3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7:E1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4:H3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4:I3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3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:N3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3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count="1">
    <dataValidation type="list" allowBlank="1" showInputMessage="1" showErrorMessage="1" sqref="B4:C31">
      <formula1>yesno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Support!#REF!</xm:f>
          </x14:formula1>
          <xm:sqref>B32:D32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="85" zoomScaleNormal="85" workbookViewId="0">
      <selection activeCell="H10" sqref="H10"/>
    </sheetView>
  </sheetViews>
  <sheetFormatPr defaultColWidth="9" defaultRowHeight="16.5" x14ac:dyDescent="0.3"/>
  <cols>
    <col min="1" max="1" width="27.5" style="6" customWidth="1"/>
    <col min="2" max="2" width="20.5" style="6" customWidth="1"/>
    <col min="3" max="3" width="18" style="6" customWidth="1"/>
    <col min="4" max="4" width="29.375" style="6" customWidth="1"/>
    <col min="5" max="5" width="23.875" style="6" customWidth="1"/>
    <col min="6" max="6" width="25.625" style="6" customWidth="1"/>
    <col min="7" max="7" width="21.375" style="7" customWidth="1"/>
    <col min="8" max="8" width="22.25" style="27" customWidth="1"/>
    <col min="9" max="9" width="19.75" style="47" customWidth="1"/>
    <col min="10" max="10" width="20.875" style="47" bestFit="1" customWidth="1"/>
    <col min="11" max="11" width="20" style="48" customWidth="1"/>
    <col min="12" max="12" width="18.375" style="6" customWidth="1"/>
    <col min="13" max="13" width="22.875" style="6" customWidth="1"/>
    <col min="14" max="16384" width="9" style="6"/>
  </cols>
  <sheetData>
    <row r="1" spans="1:14" ht="20.25" thickBot="1" x14ac:dyDescent="0.35">
      <c r="A1" s="237" t="s">
        <v>239</v>
      </c>
      <c r="B1" s="237"/>
      <c r="C1" s="237"/>
    </row>
    <row r="2" spans="1:14" ht="17.25" thickTop="1" x14ac:dyDescent="0.3"/>
    <row r="3" spans="1:14" s="3" customFormat="1" x14ac:dyDescent="0.3">
      <c r="A3" s="235" t="s">
        <v>240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</row>
    <row r="4" spans="1:14" x14ac:dyDescent="0.3">
      <c r="A4" s="4" t="s">
        <v>241</v>
      </c>
      <c r="B4" s="45" t="s">
        <v>242</v>
      </c>
      <c r="C4" s="4" t="s">
        <v>243</v>
      </c>
      <c r="D4" s="4" t="s">
        <v>244</v>
      </c>
      <c r="E4" s="5" t="s">
        <v>245</v>
      </c>
      <c r="F4" s="26" t="s">
        <v>246</v>
      </c>
      <c r="G4" s="26" t="s">
        <v>247</v>
      </c>
      <c r="H4" s="4" t="s">
        <v>248</v>
      </c>
      <c r="I4" s="46" t="s">
        <v>249</v>
      </c>
      <c r="J4" s="46" t="s">
        <v>250</v>
      </c>
      <c r="K4" s="46" t="s">
        <v>251</v>
      </c>
      <c r="L4" s="46" t="s">
        <v>252</v>
      </c>
    </row>
    <row r="5" spans="1:14" x14ac:dyDescent="0.3">
      <c r="A5" s="95"/>
      <c r="B5" s="96"/>
      <c r="C5" s="96"/>
      <c r="D5" s="96"/>
      <c r="E5" s="97"/>
      <c r="F5" s="98" t="e">
        <f t="shared" ref="F5:F12" si="0">IF(E5&lt;B$18,PRODUCT(SUM(B$19,-E5)/SUM(B$19,-B$18)),IF(E5&gt;B$20,PRODUCT(SUM(E5,-B$19)/SUM(B$20,-B$19)),1))</f>
        <v>#DIV/0!</v>
      </c>
      <c r="G5" s="98">
        <f t="shared" ref="G5:G12" si="1">IF(E5&lt;C$18,PRODUCT(SUM(C$19,-E5)/SUM(C$19,-C$18)),IF(E5&gt;C$20,PRODUCT(SUM(E5,-C$19)/SUM(C$20,-C$19)),1))</f>
        <v>1</v>
      </c>
      <c r="H5" s="99">
        <f>IF(C5=Jurisdictions!A$4,Jurisdictions!E$4,IF(C5=Jurisdictions!A$5,Jurisdictions!E$5,IF(C5=Jurisdictions!A$6,Jurisdictions!E$6,IF(C5=Jurisdictions!A$7,Jurisdictions!E$7,IF(C5=Jurisdictions!A$8,Jurisdictions!E$8,IF(C5=Jurisdictions!A$9,Jurisdictions!E$9,IF(C5=Jurisdictions!A$10,Jurisdictions!E$10,IF(C5=Jurisdictions!A$11,Jurisdictions!E$11,IF(C5=Jurisdictions!A$12,Jurisdictions!E$12,IF(C5=Jurisdictions!A$13,Jurisdictions!E$13,IF(C5=Jurisdictions!A$14,Jurisdictions!E$14,IF(C5=Jurisdictions!A$15,Jurisdictions!E$15,IF(C5=Jurisdictions!A$16,Jurisdictions!E$16,IF(C5=Jurisdictions!A$17,Jurisdictions!E$17,IF(C5=Jurisdictions!A$18,Jurisdictions!E$18,IF(C5=Jurisdictions!A$19,Jurisdictions!E$19,IF(C5=Jurisdictions!A$25,Jurisdictions!E$25,IF(C5=Jurisdictions!A$26,Jurisdictions!E$26,IF(C5=Jurisdictions!A$27,Jurisdictions!E$27,IF(C5=Jurisdictions!A$30,Jurisdictions!E$30,IF(C5=Jurisdictions!A$31,Jurisdictions!E$31,)))))))))))))))))))))+IF(D5=Jurisdictions!A$4,Jurisdictions!E$4,IF(D5=Jurisdictions!A$5,Jurisdictions!E$5,IF(D5=Jurisdictions!A$6,Jurisdictions!E$6,IF(D5=Jurisdictions!A$7,Jurisdictions!E$7,IF(D5=Jurisdictions!A$8,Jurisdictions!E$8,IF(D5=Jurisdictions!A$9,Jurisdictions!E$9,IF(D5=Jurisdictions!A$10,Jurisdictions!E$10,IF(D5=Jurisdictions!A$11,Jurisdictions!E$11,IF(D5=Jurisdictions!A$12,Jurisdictions!E$12,IF(D5=Jurisdictions!A$13,Jurisdictions!E$13,IF(D5=Jurisdictions!A$14,Jurisdictions!E$14,IF(D5=Jurisdictions!A$15,Jurisdictions!E$15,IF(D5=Jurisdictions!A$16,Jurisdictions!E$16,IF(D5=Jurisdictions!A$17,Jurisdictions!E$17,IF(D5=Jurisdictions!A$18,Jurisdictions!E$18,IF(D5=Jurisdictions!A$19,Jurisdictions!E$19,IF(D5=Jurisdictions!A$25,Jurisdictions!E$25,IF(D5=Jurisdictions!A$26,Jurisdictions!E$26,IF(D5=Jurisdictions!A$27,Jurisdictions!E$27,IF(D5=Jurisdictions!A$30,Jurisdictions!E$30,IF(D5=Jurisdictions!A$31,Jurisdictions!E$31,)))))))))))))))))))))</f>
        <v>2</v>
      </c>
      <c r="I5" s="100" t="e">
        <f>H5*F5</f>
        <v>#DIV/0!</v>
      </c>
      <c r="J5" s="100">
        <f>H5*G5</f>
        <v>2</v>
      </c>
      <c r="K5" s="101">
        <f t="shared" ref="K5:K13" si="2">E5*H5</f>
        <v>0</v>
      </c>
      <c r="L5" s="101" t="e">
        <f>E5*I5</f>
        <v>#DIV/0!</v>
      </c>
      <c r="N5" s="8"/>
    </row>
    <row r="6" spans="1:14" x14ac:dyDescent="0.3">
      <c r="A6" s="95"/>
      <c r="B6" s="96"/>
      <c r="C6" s="96"/>
      <c r="D6" s="96"/>
      <c r="E6" s="97"/>
      <c r="F6" s="98" t="e">
        <f t="shared" si="0"/>
        <v>#DIV/0!</v>
      </c>
      <c r="G6" s="98">
        <f t="shared" si="1"/>
        <v>1</v>
      </c>
      <c r="H6" s="99">
        <f>IF(C6=Jurisdictions!A$4,Jurisdictions!E$4,IF(C6=Jurisdictions!A$5,Jurisdictions!E$5,IF(C6=Jurisdictions!A$6,Jurisdictions!E$6,IF(C6=Jurisdictions!A$7,Jurisdictions!E$7,IF(C6=Jurisdictions!A$8,Jurisdictions!E$8,IF(C6=Jurisdictions!A$9,Jurisdictions!E$9,IF(C6=Jurisdictions!A$10,Jurisdictions!E$10,IF(C6=Jurisdictions!A$11,Jurisdictions!E$11,IF(C6=Jurisdictions!A$12,Jurisdictions!E$12,IF(C6=Jurisdictions!A$13,Jurisdictions!E$13,IF(C6=Jurisdictions!A$14,Jurisdictions!E$14,IF(C6=Jurisdictions!A$15,Jurisdictions!E$15,IF(C6=Jurisdictions!A$16,Jurisdictions!E$16,IF(C6=Jurisdictions!A$17,Jurisdictions!E$17,IF(C6=Jurisdictions!A$18,Jurisdictions!E$18,IF(C6=Jurisdictions!A$19,Jurisdictions!E$19,IF(C6=Jurisdictions!A$25,Jurisdictions!E$25,IF(C6=Jurisdictions!A$26,Jurisdictions!E$26,IF(C6=Jurisdictions!A$27,Jurisdictions!E$27,IF(C6=Jurisdictions!A$30,Jurisdictions!E$30,IF(C6=Jurisdictions!A$31,Jurisdictions!E$31,)))))))))))))))))))))+IF(D6=Jurisdictions!A$4,Jurisdictions!E$4,IF(D6=Jurisdictions!A$5,Jurisdictions!E$5,IF(D6=Jurisdictions!A$6,Jurisdictions!E$6,IF(D6=Jurisdictions!A$7,Jurisdictions!E$7,IF(D6=Jurisdictions!A$8,Jurisdictions!E$8,IF(D6=Jurisdictions!A$9,Jurisdictions!E$9,IF(D6=Jurisdictions!A$10,Jurisdictions!E$10,IF(D6=Jurisdictions!A$11,Jurisdictions!E$11,IF(D6=Jurisdictions!A$12,Jurisdictions!E$12,IF(D6=Jurisdictions!A$13,Jurisdictions!E$13,IF(D6=Jurisdictions!A$14,Jurisdictions!E$14,IF(D6=Jurisdictions!A$15,Jurisdictions!E$15,IF(D6=Jurisdictions!A$16,Jurisdictions!E$16,IF(D6=Jurisdictions!A$17,Jurisdictions!E$17,IF(D6=Jurisdictions!A$18,Jurisdictions!E$18,IF(D6=Jurisdictions!A$19,Jurisdictions!E$19,IF(D6=Jurisdictions!A$25,Jurisdictions!E$25,IF(D6=Jurisdictions!A$26,Jurisdictions!E$26,IF(D6=Jurisdictions!A$27,Jurisdictions!E$27,IF(D6=Jurisdictions!A$30,Jurisdictions!E$30,IF(D6=Jurisdictions!A$31,Jurisdictions!E$31,)))))))))))))))))))))</f>
        <v>2</v>
      </c>
      <c r="I6" s="100" t="e">
        <f>H6*F6</f>
        <v>#DIV/0!</v>
      </c>
      <c r="J6" s="100">
        <f t="shared" ref="J6:J13" si="3">H6*G6</f>
        <v>2</v>
      </c>
      <c r="K6" s="101">
        <f t="shared" si="2"/>
        <v>0</v>
      </c>
      <c r="L6" s="101" t="e">
        <f t="shared" ref="L6:L13" si="4">E6*I6</f>
        <v>#DIV/0!</v>
      </c>
    </row>
    <row r="7" spans="1:14" x14ac:dyDescent="0.3">
      <c r="A7" s="95"/>
      <c r="B7" s="96"/>
      <c r="C7" s="96"/>
      <c r="D7" s="96"/>
      <c r="E7" s="97"/>
      <c r="F7" s="98" t="e">
        <f t="shared" si="0"/>
        <v>#DIV/0!</v>
      </c>
      <c r="G7" s="98">
        <f t="shared" si="1"/>
        <v>1</v>
      </c>
      <c r="H7" s="99">
        <f>IF(C7=Jurisdictions!A$4,Jurisdictions!E$4,IF(C7=Jurisdictions!A$5,Jurisdictions!E$5,IF(C7=Jurisdictions!A$6,Jurisdictions!E$6,IF(C7=Jurisdictions!A$7,Jurisdictions!E$7,IF(C7=Jurisdictions!A$8,Jurisdictions!E$8,IF(C7=Jurisdictions!A$9,Jurisdictions!E$9,IF(C7=Jurisdictions!A$10,Jurisdictions!E$10,IF(C7=Jurisdictions!A$11,Jurisdictions!E$11,IF(C7=Jurisdictions!A$12,Jurisdictions!E$12,IF(C7=Jurisdictions!A$13,Jurisdictions!E$13,IF(C7=Jurisdictions!A$14,Jurisdictions!E$14,IF(C7=Jurisdictions!A$15,Jurisdictions!E$15,IF(C7=Jurisdictions!A$16,Jurisdictions!E$16,IF(C7=Jurisdictions!A$17,Jurisdictions!E$17,IF(C7=Jurisdictions!A$18,Jurisdictions!E$18,IF(C7=Jurisdictions!A$19,Jurisdictions!E$19,IF(C7=Jurisdictions!A$25,Jurisdictions!E$25,IF(C7=Jurisdictions!A$26,Jurisdictions!E$26,IF(C7=Jurisdictions!A$27,Jurisdictions!E$27,IF(C7=Jurisdictions!A$30,Jurisdictions!E$30,IF(C7=Jurisdictions!A$31,Jurisdictions!E$31,)))))))))))))))))))))+IF(D7=Jurisdictions!A$4,Jurisdictions!E$4,IF(D7=Jurisdictions!A$5,Jurisdictions!E$5,IF(D7=Jurisdictions!A$6,Jurisdictions!E$6,IF(D7=Jurisdictions!A$7,Jurisdictions!E$7,IF(D7=Jurisdictions!A$8,Jurisdictions!E$8,IF(D7=Jurisdictions!A$9,Jurisdictions!E$9,IF(D7=Jurisdictions!A$10,Jurisdictions!E$10,IF(D7=Jurisdictions!A$11,Jurisdictions!E$11,IF(D7=Jurisdictions!A$12,Jurisdictions!E$12,IF(D7=Jurisdictions!A$13,Jurisdictions!E$13,IF(D7=Jurisdictions!A$14,Jurisdictions!E$14,IF(D7=Jurisdictions!A$15,Jurisdictions!E$15,IF(D7=Jurisdictions!A$16,Jurisdictions!E$16,IF(D7=Jurisdictions!A$17,Jurisdictions!E$17,IF(D7=Jurisdictions!A$18,Jurisdictions!E$18,IF(D7=Jurisdictions!A$19,Jurisdictions!E$19,IF(D7=Jurisdictions!A$25,Jurisdictions!E$25,IF(D7=Jurisdictions!A$26,Jurisdictions!E$26,IF(D7=Jurisdictions!A$27,Jurisdictions!E$27,IF(D7=Jurisdictions!A$30,Jurisdictions!E$30,IF(D7=Jurisdictions!A$31,Jurisdictions!E$31,)))))))))))))))))))))</f>
        <v>2</v>
      </c>
      <c r="I7" s="100" t="e">
        <f t="shared" ref="I7:I13" si="5">H7*F7</f>
        <v>#DIV/0!</v>
      </c>
      <c r="J7" s="100">
        <f t="shared" si="3"/>
        <v>2</v>
      </c>
      <c r="K7" s="101">
        <f t="shared" si="2"/>
        <v>0</v>
      </c>
      <c r="L7" s="101" t="e">
        <f t="shared" si="4"/>
        <v>#DIV/0!</v>
      </c>
    </row>
    <row r="8" spans="1:14" x14ac:dyDescent="0.3">
      <c r="A8" s="95"/>
      <c r="B8" s="96"/>
      <c r="C8" s="96"/>
      <c r="D8" s="96"/>
      <c r="E8" s="97"/>
      <c r="F8" s="98" t="e">
        <f t="shared" si="0"/>
        <v>#DIV/0!</v>
      </c>
      <c r="G8" s="98">
        <f t="shared" si="1"/>
        <v>1</v>
      </c>
      <c r="H8" s="99">
        <f>IF(C8=Jurisdictions!A$4,Jurisdictions!E$4,IF(C8=Jurisdictions!A$5,Jurisdictions!E$5,IF(C8=Jurisdictions!A$6,Jurisdictions!E$6,IF(C8=Jurisdictions!A$7,Jurisdictions!E$7,IF(C8=Jurisdictions!A$8,Jurisdictions!E$8,IF(C8=Jurisdictions!A$9,Jurisdictions!E$9,IF(C8=Jurisdictions!A$10,Jurisdictions!E$10,IF(C8=Jurisdictions!A$11,Jurisdictions!E$11,IF(C8=Jurisdictions!A$12,Jurisdictions!E$12,IF(C8=Jurisdictions!A$13,Jurisdictions!E$13,IF(C8=Jurisdictions!A$14,Jurisdictions!E$14,IF(C8=Jurisdictions!A$15,Jurisdictions!E$15,IF(C8=Jurisdictions!A$16,Jurisdictions!E$16,IF(C8=Jurisdictions!A$17,Jurisdictions!E$17,IF(C8=Jurisdictions!A$18,Jurisdictions!E$18,IF(C8=Jurisdictions!A$19,Jurisdictions!E$19,IF(C8=Jurisdictions!A$25,Jurisdictions!E$25,IF(C8=Jurisdictions!A$26,Jurisdictions!E$26,IF(C8=Jurisdictions!A$27,Jurisdictions!E$27,IF(C8=Jurisdictions!A$30,Jurisdictions!E$30,IF(C8=Jurisdictions!A$31,Jurisdictions!E$31,)))))))))))))))))))))+IF(D8=Jurisdictions!A$4,Jurisdictions!E$4,IF(D8=Jurisdictions!A$5,Jurisdictions!E$5,IF(D8=Jurisdictions!A$6,Jurisdictions!E$6,IF(D8=Jurisdictions!A$7,Jurisdictions!E$7,IF(D8=Jurisdictions!A$8,Jurisdictions!E$8,IF(D8=Jurisdictions!A$9,Jurisdictions!E$9,IF(D8=Jurisdictions!A$10,Jurisdictions!E$10,IF(D8=Jurisdictions!A$11,Jurisdictions!E$11,IF(D8=Jurisdictions!A$12,Jurisdictions!E$12,IF(D8=Jurisdictions!A$13,Jurisdictions!E$13,IF(D8=Jurisdictions!A$14,Jurisdictions!E$14,IF(D8=Jurisdictions!A$15,Jurisdictions!E$15,IF(D8=Jurisdictions!A$16,Jurisdictions!E$16,IF(D8=Jurisdictions!A$17,Jurisdictions!E$17,IF(D8=Jurisdictions!A$18,Jurisdictions!E$18,IF(D8=Jurisdictions!A$19,Jurisdictions!E$19,IF(D8=Jurisdictions!A$25,Jurisdictions!E$25,IF(D8=Jurisdictions!A$26,Jurisdictions!E$26,IF(D8=Jurisdictions!A$27,Jurisdictions!E$27,IF(D8=Jurisdictions!A$30,Jurisdictions!E$30,IF(D8=Jurisdictions!A$31,Jurisdictions!E$31,)))))))))))))))))))))</f>
        <v>2</v>
      </c>
      <c r="I8" s="100" t="e">
        <f t="shared" si="5"/>
        <v>#DIV/0!</v>
      </c>
      <c r="J8" s="100">
        <f t="shared" si="3"/>
        <v>2</v>
      </c>
      <c r="K8" s="101">
        <f t="shared" si="2"/>
        <v>0</v>
      </c>
      <c r="L8" s="101" t="e">
        <f t="shared" si="4"/>
        <v>#DIV/0!</v>
      </c>
    </row>
    <row r="9" spans="1:14" x14ac:dyDescent="0.3">
      <c r="A9" s="95"/>
      <c r="B9" s="96"/>
      <c r="C9" s="96"/>
      <c r="D9" s="96"/>
      <c r="E9" s="97"/>
      <c r="F9" s="98" t="e">
        <f t="shared" si="0"/>
        <v>#DIV/0!</v>
      </c>
      <c r="G9" s="98">
        <f t="shared" si="1"/>
        <v>1</v>
      </c>
      <c r="H9" s="99">
        <f>IF(C9=Jurisdictions!A$4,Jurisdictions!E$4,IF(C9=Jurisdictions!A$5,Jurisdictions!E$5,IF(C9=Jurisdictions!A$6,Jurisdictions!E$6,IF(C9=Jurisdictions!A$7,Jurisdictions!E$7,IF(C9=Jurisdictions!A$8,Jurisdictions!E$8,IF(C9=Jurisdictions!A$9,Jurisdictions!E$9,IF(C9=Jurisdictions!A$10,Jurisdictions!E$10,IF(C9=Jurisdictions!A$11,Jurisdictions!E$11,IF(C9=Jurisdictions!A$12,Jurisdictions!E$12,IF(C9=Jurisdictions!A$13,Jurisdictions!E$13,IF(C9=Jurisdictions!A$14,Jurisdictions!E$14,IF(C9=Jurisdictions!A$15,Jurisdictions!E$15,IF(C9=Jurisdictions!A$16,Jurisdictions!E$16,IF(C9=Jurisdictions!A$17,Jurisdictions!E$17,IF(C9=Jurisdictions!A$18,Jurisdictions!E$18,IF(C9=Jurisdictions!A$19,Jurisdictions!E$19,IF(C9=Jurisdictions!A$25,Jurisdictions!E$25,IF(C9=Jurisdictions!A$26,Jurisdictions!E$26,IF(C9=Jurisdictions!A$27,Jurisdictions!E$27,IF(C9=Jurisdictions!A$30,Jurisdictions!E$30,IF(C9=Jurisdictions!A$31,Jurisdictions!E$31,)))))))))))))))))))))+IF(D9=Jurisdictions!A$4,Jurisdictions!E$4,IF(D9=Jurisdictions!A$5,Jurisdictions!E$5,IF(D9=Jurisdictions!A$6,Jurisdictions!E$6,IF(D9=Jurisdictions!A$7,Jurisdictions!E$7,IF(D9=Jurisdictions!A$8,Jurisdictions!E$8,IF(D9=Jurisdictions!A$9,Jurisdictions!E$9,IF(D9=Jurisdictions!A$10,Jurisdictions!E$10,IF(D9=Jurisdictions!A$11,Jurisdictions!E$11,IF(D9=Jurisdictions!A$12,Jurisdictions!E$12,IF(D9=Jurisdictions!A$13,Jurisdictions!E$13,IF(D9=Jurisdictions!A$14,Jurisdictions!E$14,IF(D9=Jurisdictions!A$15,Jurisdictions!E$15,IF(D9=Jurisdictions!A$16,Jurisdictions!E$16,IF(D9=Jurisdictions!A$17,Jurisdictions!E$17,IF(D9=Jurisdictions!A$18,Jurisdictions!E$18,IF(D9=Jurisdictions!A$19,Jurisdictions!E$19,IF(D9=Jurisdictions!A$25,Jurisdictions!E$25,IF(D9=Jurisdictions!A$26,Jurisdictions!E$26,IF(D9=Jurisdictions!A$27,Jurisdictions!E$27,IF(D9=Jurisdictions!A$30,Jurisdictions!E$30,IF(D9=Jurisdictions!A$31,Jurisdictions!E$31,)))))))))))))))))))))</f>
        <v>2</v>
      </c>
      <c r="I9" s="100" t="e">
        <f t="shared" si="5"/>
        <v>#DIV/0!</v>
      </c>
      <c r="J9" s="100">
        <f t="shared" si="3"/>
        <v>2</v>
      </c>
      <c r="K9" s="101">
        <f t="shared" si="2"/>
        <v>0</v>
      </c>
      <c r="L9" s="101" t="e">
        <f t="shared" si="4"/>
        <v>#DIV/0!</v>
      </c>
    </row>
    <row r="10" spans="1:14" x14ac:dyDescent="0.3">
      <c r="A10" s="95"/>
      <c r="B10" s="96"/>
      <c r="C10" s="96"/>
      <c r="D10" s="96"/>
      <c r="E10" s="97"/>
      <c r="F10" s="98" t="e">
        <f t="shared" si="0"/>
        <v>#DIV/0!</v>
      </c>
      <c r="G10" s="98">
        <f t="shared" si="1"/>
        <v>1</v>
      </c>
      <c r="H10" s="99">
        <f>IF(C10=Jurisdictions!A$4,Jurisdictions!E$4,IF(C10=Jurisdictions!A$5,Jurisdictions!E$5,IF(C10=Jurisdictions!A$6,Jurisdictions!E$6,IF(C10=Jurisdictions!A$7,Jurisdictions!E$7,IF(C10=Jurisdictions!A$8,Jurisdictions!E$8,IF(C10=Jurisdictions!A$9,Jurisdictions!E$9,IF(C10=Jurisdictions!A$10,Jurisdictions!E$10,IF(C10=Jurisdictions!A$11,Jurisdictions!E$11,IF(C10=Jurisdictions!A$12,Jurisdictions!E$12,IF(C10=Jurisdictions!A$13,Jurisdictions!E$13,IF(C10=Jurisdictions!A$14,Jurisdictions!E$14,IF(C10=Jurisdictions!A$15,Jurisdictions!E$15,IF(C10=Jurisdictions!A$16,Jurisdictions!E$16,IF(C10=Jurisdictions!A$17,Jurisdictions!E$17,IF(C10=Jurisdictions!A$18,Jurisdictions!E$18,IF(C10=Jurisdictions!A$19,Jurisdictions!E$19,IF(C10=Jurisdictions!A$25,Jurisdictions!E$25,IF(C10=Jurisdictions!A$26,Jurisdictions!E$26,IF(C10=Jurisdictions!A$27,Jurisdictions!E$27,IF(C10=Jurisdictions!A$30,Jurisdictions!E$30,IF(C10=Jurisdictions!A$31,Jurisdictions!E$31,)))))))))))))))))))))+IF(D10=Jurisdictions!A$4,Jurisdictions!E$4,IF(D10=Jurisdictions!A$5,Jurisdictions!E$5,IF(D10=Jurisdictions!A$6,Jurisdictions!E$6,IF(D10=Jurisdictions!A$7,Jurisdictions!E$7,IF(D10=Jurisdictions!A$8,Jurisdictions!E$8,IF(D10=Jurisdictions!A$9,Jurisdictions!E$9,IF(D10=Jurisdictions!A$10,Jurisdictions!E$10,IF(D10=Jurisdictions!A$11,Jurisdictions!E$11,IF(D10=Jurisdictions!A$12,Jurisdictions!E$12,IF(D10=Jurisdictions!A$13,Jurisdictions!E$13,IF(D10=Jurisdictions!A$14,Jurisdictions!E$14,IF(D10=Jurisdictions!A$15,Jurisdictions!E$15,IF(D10=Jurisdictions!A$16,Jurisdictions!E$16,IF(D10=Jurisdictions!A$17,Jurisdictions!E$17,IF(D10=Jurisdictions!A$18,Jurisdictions!E$18,IF(D10=Jurisdictions!A$19,Jurisdictions!E$19,IF(D10=Jurisdictions!A$25,Jurisdictions!E$25,IF(D10=Jurisdictions!A$26,Jurisdictions!E$26,IF(D10=Jurisdictions!A$27,Jurisdictions!E$27,IF(D10=Jurisdictions!A$30,Jurisdictions!E$30,IF(D10=Jurisdictions!A$31,Jurisdictions!E$31,)))))))))))))))))))))</f>
        <v>2</v>
      </c>
      <c r="I10" s="100" t="e">
        <f t="shared" si="5"/>
        <v>#DIV/0!</v>
      </c>
      <c r="J10" s="100">
        <f t="shared" si="3"/>
        <v>2</v>
      </c>
      <c r="K10" s="101">
        <f t="shared" si="2"/>
        <v>0</v>
      </c>
      <c r="L10" s="101" t="e">
        <f t="shared" si="4"/>
        <v>#DIV/0!</v>
      </c>
    </row>
    <row r="11" spans="1:14" ht="17.25" customHeight="1" x14ac:dyDescent="0.3">
      <c r="A11" s="95"/>
      <c r="B11" s="96"/>
      <c r="C11" s="96"/>
      <c r="D11" s="96"/>
      <c r="E11" s="97"/>
      <c r="F11" s="98" t="e">
        <f t="shared" si="0"/>
        <v>#DIV/0!</v>
      </c>
      <c r="G11" s="98">
        <f t="shared" si="1"/>
        <v>1</v>
      </c>
      <c r="H11" s="99">
        <f>IF(C11=Jurisdictions!A$4,Jurisdictions!E$4,IF(C11=Jurisdictions!A$5,Jurisdictions!E$5,IF(C11=Jurisdictions!A$6,Jurisdictions!E$6,IF(C11=Jurisdictions!A$7,Jurisdictions!E$7,IF(C11=Jurisdictions!A$8,Jurisdictions!E$8,IF(C11=Jurisdictions!A$9,Jurisdictions!E$9,IF(C11=Jurisdictions!A$10,Jurisdictions!E$10,IF(C11=Jurisdictions!A$11,Jurisdictions!E$11,IF(C11=Jurisdictions!A$12,Jurisdictions!E$12,IF(C11=Jurisdictions!A$13,Jurisdictions!E$13,IF(C11=Jurisdictions!A$14,Jurisdictions!E$14,IF(C11=Jurisdictions!A$15,Jurisdictions!E$15,IF(C11=Jurisdictions!A$16,Jurisdictions!E$16,IF(C11=Jurisdictions!A$17,Jurisdictions!E$17,IF(C11=Jurisdictions!A$18,Jurisdictions!E$18,IF(C11=Jurisdictions!A$19,Jurisdictions!E$19,IF(C11=Jurisdictions!A$25,Jurisdictions!E$25,IF(C11=Jurisdictions!A$26,Jurisdictions!E$26,IF(C11=Jurisdictions!A$27,Jurisdictions!E$27,IF(C11=Jurisdictions!A$30,Jurisdictions!E$30,IF(C11=Jurisdictions!A$31,Jurisdictions!E$31,)))))))))))))))))))))+IF(D11=Jurisdictions!A$4,Jurisdictions!E$4,IF(D11=Jurisdictions!A$5,Jurisdictions!E$5,IF(D11=Jurisdictions!A$6,Jurisdictions!E$6,IF(D11=Jurisdictions!A$7,Jurisdictions!E$7,IF(D11=Jurisdictions!A$8,Jurisdictions!E$8,IF(D11=Jurisdictions!A$9,Jurisdictions!E$9,IF(D11=Jurisdictions!A$10,Jurisdictions!E$10,IF(D11=Jurisdictions!A$11,Jurisdictions!E$11,IF(D11=Jurisdictions!A$12,Jurisdictions!E$12,IF(D11=Jurisdictions!A$13,Jurisdictions!E$13,IF(D11=Jurisdictions!A$14,Jurisdictions!E$14,IF(D11=Jurisdictions!A$15,Jurisdictions!E$15,IF(D11=Jurisdictions!A$16,Jurisdictions!E$16,IF(D11=Jurisdictions!A$17,Jurisdictions!E$17,IF(D11=Jurisdictions!A$18,Jurisdictions!E$18,IF(D11=Jurisdictions!A$19,Jurisdictions!E$19,IF(D11=Jurisdictions!A$25,Jurisdictions!E$25,IF(D11=Jurisdictions!A$26,Jurisdictions!E$26,IF(D11=Jurisdictions!A$27,Jurisdictions!E$27,IF(D11=Jurisdictions!A$30,Jurisdictions!E$30,IF(D11=Jurisdictions!A$31,Jurisdictions!E$31,)))))))))))))))))))))</f>
        <v>2</v>
      </c>
      <c r="I11" s="100" t="e">
        <f t="shared" si="5"/>
        <v>#DIV/0!</v>
      </c>
      <c r="J11" s="100">
        <f t="shared" si="3"/>
        <v>2</v>
      </c>
      <c r="K11" s="101">
        <f>E11*H11</f>
        <v>0</v>
      </c>
      <c r="L11" s="101" t="e">
        <f t="shared" si="4"/>
        <v>#DIV/0!</v>
      </c>
    </row>
    <row r="12" spans="1:14" ht="17.25" customHeight="1" x14ac:dyDescent="0.3">
      <c r="A12" s="95"/>
      <c r="B12" s="96"/>
      <c r="C12" s="96"/>
      <c r="D12" s="96"/>
      <c r="E12" s="97"/>
      <c r="F12" s="98" t="e">
        <f t="shared" si="0"/>
        <v>#DIV/0!</v>
      </c>
      <c r="G12" s="98">
        <f t="shared" si="1"/>
        <v>1</v>
      </c>
      <c r="H12" s="99">
        <f>IF(C12=Jurisdictions!A$4,Jurisdictions!E$4,IF(C12=Jurisdictions!A$5,Jurisdictions!E$5,IF(C12=Jurisdictions!A$6,Jurisdictions!E$6,IF(C12=Jurisdictions!A$7,Jurisdictions!E$7,IF(C12=Jurisdictions!A$8,Jurisdictions!E$8,IF(C12=Jurisdictions!A$9,Jurisdictions!E$9,IF(C12=Jurisdictions!A$10,Jurisdictions!E$10,IF(C12=Jurisdictions!A$11,Jurisdictions!E$11,IF(C12=Jurisdictions!A$12,Jurisdictions!E$12,IF(C12=Jurisdictions!A$13,Jurisdictions!E$13,IF(C12=Jurisdictions!A$14,Jurisdictions!E$14,IF(C12=Jurisdictions!A$15,Jurisdictions!E$15,IF(C12=Jurisdictions!A$16,Jurisdictions!E$16,IF(C12=Jurisdictions!A$17,Jurisdictions!E$17,IF(C12=Jurisdictions!A$18,Jurisdictions!E$18,IF(C12=Jurisdictions!A$19,Jurisdictions!E$19,IF(C12=Jurisdictions!A$25,Jurisdictions!E$25,IF(C12=Jurisdictions!A$26,Jurisdictions!E$26,IF(C12=Jurisdictions!A$27,Jurisdictions!E$27,IF(C12=Jurisdictions!A$30,Jurisdictions!E$30,IF(C12=Jurisdictions!A$31,Jurisdictions!E$31,)))))))))))))))))))))+IF(D12=Jurisdictions!A$4,Jurisdictions!E$4,IF(D12=Jurisdictions!A$5,Jurisdictions!E$5,IF(D12=Jurisdictions!A$6,Jurisdictions!E$6,IF(D12=Jurisdictions!A$7,Jurisdictions!E$7,IF(D12=Jurisdictions!A$8,Jurisdictions!E$8,IF(D12=Jurisdictions!A$9,Jurisdictions!E$9,IF(D12=Jurisdictions!A$10,Jurisdictions!E$10,IF(D12=Jurisdictions!A$11,Jurisdictions!E$11,IF(D12=Jurisdictions!A$12,Jurisdictions!E$12,IF(D12=Jurisdictions!A$13,Jurisdictions!E$13,IF(D12=Jurisdictions!A$14,Jurisdictions!E$14,IF(D12=Jurisdictions!A$15,Jurisdictions!E$15,IF(D12=Jurisdictions!A$16,Jurisdictions!E$16,IF(D12=Jurisdictions!A$17,Jurisdictions!E$17,IF(D12=Jurisdictions!A$18,Jurisdictions!E$18,IF(D12=Jurisdictions!A$19,Jurisdictions!E$19,IF(D12=Jurisdictions!A$25,Jurisdictions!E$25,IF(D12=Jurisdictions!A$26,Jurisdictions!E$26,IF(D12=Jurisdictions!A$27,Jurisdictions!E$27,IF(D12=Jurisdictions!A$30,Jurisdictions!E$30,IF(D12=Jurisdictions!A$31,Jurisdictions!E$31,)))))))))))))))))))))</f>
        <v>2</v>
      </c>
      <c r="I12" s="100" t="e">
        <f t="shared" ref="I12" si="6">H12*F12</f>
        <v>#DIV/0!</v>
      </c>
      <c r="J12" s="100">
        <f t="shared" ref="J12" si="7">H12*G12</f>
        <v>2</v>
      </c>
      <c r="K12" s="101">
        <f t="shared" ref="K12" si="8">E12*H12</f>
        <v>0</v>
      </c>
      <c r="L12" s="101" t="e">
        <f t="shared" si="4"/>
        <v>#DIV/0!</v>
      </c>
    </row>
    <row r="13" spans="1:14" x14ac:dyDescent="0.3">
      <c r="A13" s="102" t="s">
        <v>253</v>
      </c>
      <c r="B13" s="102" t="s">
        <v>253</v>
      </c>
      <c r="C13" s="102" t="s">
        <v>253</v>
      </c>
      <c r="D13" s="102" t="s">
        <v>253</v>
      </c>
      <c r="E13" s="103">
        <v>0</v>
      </c>
      <c r="F13" s="104">
        <v>0</v>
      </c>
      <c r="G13" s="104">
        <v>0</v>
      </c>
      <c r="H13" s="105">
        <f>IF(C13=Jurisdictions!A$4,Jurisdictions!E$4,IF(C13=Jurisdictions!A$5,Jurisdictions!E$5,IF(C13=Jurisdictions!A$6,Jurisdictions!E$6,IF(C13=Jurisdictions!A$7,Jurisdictions!E$7,IF(C13=Jurisdictions!A$8,Jurisdictions!E$8,IF(C13=Jurisdictions!A$9,Jurisdictions!E$9,IF(C13=Jurisdictions!A$10,Jurisdictions!E$10,IF(C13=Jurisdictions!A$11,Jurisdictions!E$11,IF(C13=Jurisdictions!A$12,Jurisdictions!E$12,IF(C13=Jurisdictions!A$13,Jurisdictions!E$13,IF(C13=Jurisdictions!A$14,Jurisdictions!E$14,IF(C13=Jurisdictions!A$15,Jurisdictions!E$15,IF(C13=Jurisdictions!A$16,Jurisdictions!E$16,IF(C13=Jurisdictions!A$17,Jurisdictions!E$17,IF(C13=Jurisdictions!A$18,Jurisdictions!E$18,IF(C13=Jurisdictions!A$19,Jurisdictions!E$19,))))))))))))))))+IF(D13=Jurisdictions!A$4,Jurisdictions!E$4,IF(D13=Jurisdictions!A$5,Jurisdictions!E$5,IF(D13=Jurisdictions!A$6,Jurisdictions!E$6,IF(D13=Jurisdictions!A$7,Jurisdictions!E$7,IF(D13=Jurisdictions!A$8,Jurisdictions!E$8,IF(D13=Jurisdictions!A$9,Jurisdictions!E$9,IF(D13=Jurisdictions!A$10,Jurisdictions!E$10,IF(D13=Jurisdictions!A$11,Jurisdictions!E$11,IF(D13=Jurisdictions!A$12,Jurisdictions!E$12,IF(D13=Jurisdictions!A$13,Jurisdictions!E$13,IF(D13=Jurisdictions!A$14,Jurisdictions!E$14,IF(D13=Jurisdictions!A$15,Jurisdictions!E$15,IF(D13=Jurisdictions!A$16,Jurisdictions!E$16,IF(D13=Jurisdictions!A$17,Jurisdictions!E$17,IF(D13=Jurisdictions!A$18,Jurisdictions!E$18,IF(D13=Jurisdictions!A$19,Jurisdictions!E$19,))))))))))))))))</f>
        <v>0</v>
      </c>
      <c r="I13" s="106">
        <f t="shared" si="5"/>
        <v>0</v>
      </c>
      <c r="J13" s="106">
        <f t="shared" si="3"/>
        <v>0</v>
      </c>
      <c r="K13" s="107">
        <f t="shared" si="2"/>
        <v>0</v>
      </c>
      <c r="L13" s="101">
        <f t="shared" si="4"/>
        <v>0</v>
      </c>
    </row>
    <row r="14" spans="1:14" x14ac:dyDescent="0.3">
      <c r="L14" s="8"/>
    </row>
    <row r="16" spans="1:14" x14ac:dyDescent="0.3">
      <c r="A16" s="9"/>
    </row>
    <row r="17" spans="1:8" x14ac:dyDescent="0.3">
      <c r="A17" s="10"/>
      <c r="B17" s="14" t="s">
        <v>254</v>
      </c>
      <c r="C17" s="10" t="s">
        <v>255</v>
      </c>
    </row>
    <row r="18" spans="1:8" x14ac:dyDescent="0.3">
      <c r="A18" s="49" t="s">
        <v>256</v>
      </c>
      <c r="B18" s="50" t="e">
        <f>SUM(MEDIAN(E5:E994),-STDEV(E5:E994))</f>
        <v>#DIV/0!</v>
      </c>
      <c r="C18" s="51"/>
    </row>
    <row r="19" spans="1:8" x14ac:dyDescent="0.3">
      <c r="A19" s="49" t="s">
        <v>257</v>
      </c>
      <c r="B19" s="52">
        <f>MEDIAN(E5:E994)</f>
        <v>0</v>
      </c>
      <c r="C19" s="51" t="e">
        <f>MEDIAN(C18,C20)</f>
        <v>#NUM!</v>
      </c>
    </row>
    <row r="20" spans="1:8" x14ac:dyDescent="0.3">
      <c r="A20" s="49" t="s">
        <v>258</v>
      </c>
      <c r="B20" s="50" t="e">
        <f>SUM(MEDIAN(E5:E994),STDEV(E5:E994))</f>
        <v>#DIV/0!</v>
      </c>
      <c r="C20" s="51"/>
      <c r="F20" s="7"/>
    </row>
    <row r="21" spans="1:8" ht="32.25" customHeight="1" x14ac:dyDescent="0.3">
      <c r="A21" s="53" t="s">
        <v>259</v>
      </c>
      <c r="B21" s="54">
        <f>PRODUCT(SUM(COUNTIF(F5:F13,"&lt;&gt;1"),-1)/SUM(COUNTIF(F5:F13,"&lt;&gt;*"),-1))</f>
        <v>1</v>
      </c>
      <c r="C21" s="54">
        <f>PRODUCT(SUM(COUNTIF(G5:G13,"&lt;&gt;1"),-1)/SUM(COUNTIF(G5:G13,"&lt;&gt;*"),-1))</f>
        <v>0</v>
      </c>
      <c r="F21" s="7"/>
    </row>
    <row r="22" spans="1:8" x14ac:dyDescent="0.3">
      <c r="A22" s="68" t="s">
        <v>6</v>
      </c>
      <c r="B22" s="69">
        <f ca="1">INDIRECT("B"&amp;MATCH(LARGE(K5:K12,1),K:K,0))</f>
        <v>0</v>
      </c>
      <c r="C22" s="69" t="e">
        <f ca="1">INDIRECT("B"&amp;MATCH(LARGE(L5:L12,1),L:L,0))</f>
        <v>#DIV/0!</v>
      </c>
    </row>
    <row r="23" spans="1:8" x14ac:dyDescent="0.3">
      <c r="A23" s="70" t="s">
        <v>8</v>
      </c>
      <c r="B23" s="69">
        <f ca="1">INDIRECT("B"&amp;MATCH(LARGE(K5:K12,2),K:K,0))</f>
        <v>0</v>
      </c>
      <c r="C23" s="69" t="e">
        <f ca="1">INDIRECT("B"&amp;MATCH(LARGE(L5:L12,2),L:L,0))</f>
        <v>#DIV/0!</v>
      </c>
    </row>
    <row r="24" spans="1:8" x14ac:dyDescent="0.3">
      <c r="A24" s="69" t="s">
        <v>10</v>
      </c>
      <c r="B24" s="69">
        <f ca="1">INDIRECT("B"&amp;MATCH(LARGE(K5:K12,3),K:K,0))</f>
        <v>0</v>
      </c>
      <c r="C24" s="69" t="e">
        <f ca="1">INDIRECT("B"&amp;MATCH(LARGE(L5:L12,3),L:L,0))</f>
        <v>#DIV/0!</v>
      </c>
    </row>
    <row r="28" spans="1:8" x14ac:dyDescent="0.3">
      <c r="E28" s="7"/>
      <c r="F28" s="27"/>
      <c r="G28" s="27"/>
      <c r="H28" s="6"/>
    </row>
    <row r="29" spans="1:8" x14ac:dyDescent="0.3">
      <c r="E29" s="7"/>
      <c r="F29" s="27"/>
      <c r="G29" s="27"/>
      <c r="H29" s="6"/>
    </row>
    <row r="30" spans="1:8" x14ac:dyDescent="0.3">
      <c r="E30" s="7"/>
      <c r="F30" s="27"/>
      <c r="G30" s="27"/>
      <c r="H30" s="6"/>
    </row>
    <row r="31" spans="1:8" x14ac:dyDescent="0.3">
      <c r="E31" s="7"/>
      <c r="F31" s="27"/>
      <c r="G31" s="27"/>
      <c r="H31" s="6"/>
    </row>
    <row r="32" spans="1:8" x14ac:dyDescent="0.3">
      <c r="E32" s="7"/>
      <c r="F32" s="27"/>
      <c r="G32" s="27"/>
      <c r="H32" s="6"/>
    </row>
    <row r="33" spans="5:8" x14ac:dyDescent="0.3">
      <c r="E33" s="7"/>
      <c r="F33" s="27"/>
      <c r="G33" s="27"/>
      <c r="H33" s="6"/>
    </row>
    <row r="34" spans="5:8" x14ac:dyDescent="0.3">
      <c r="E34" s="7"/>
      <c r="F34" s="27"/>
      <c r="G34" s="27"/>
      <c r="H34" s="6"/>
    </row>
    <row r="35" spans="5:8" x14ac:dyDescent="0.3">
      <c r="E35" s="7"/>
      <c r="F35" s="27"/>
      <c r="G35" s="27"/>
      <c r="H35" s="6"/>
    </row>
    <row r="36" spans="5:8" x14ac:dyDescent="0.3">
      <c r="E36" s="7"/>
      <c r="F36" s="27"/>
      <c r="G36" s="27"/>
      <c r="H36" s="6"/>
    </row>
  </sheetData>
  <mergeCells count="2">
    <mergeCell ref="A3:M3"/>
    <mergeCell ref="A1:C1"/>
  </mergeCells>
  <conditionalFormatting sqref="H13:I13 H5:I11 H12">
    <cfRule type="aboveAverage" dxfId="11" priority="26" stdDev="1"/>
  </conditionalFormatting>
  <conditionalFormatting sqref="J17:K17">
    <cfRule type="aboveAverage" dxfId="10" priority="20" stdDev="1"/>
  </conditionalFormatting>
  <conditionalFormatting sqref="J17:K17">
    <cfRule type="aboveAverage" dxfId="9" priority="21" stdDev="1"/>
  </conditionalFormatting>
  <conditionalFormatting sqref="L17">
    <cfRule type="aboveAverage" dxfId="8" priority="17" stdDev="1"/>
  </conditionalFormatting>
  <conditionalFormatting sqref="L17">
    <cfRule type="aboveAverage" dxfId="7" priority="18" stdDev="1"/>
  </conditionalFormatting>
  <conditionalFormatting sqref="K5:K11 K13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  <cfRule type="aboveAverage" priority="15" stdDev="1"/>
    <cfRule type="aboveAverage" dxfId="6" priority="16" stdDev="1"/>
  </conditionalFormatting>
  <conditionalFormatting sqref="J5:J11 J13">
    <cfRule type="aboveAverage" dxfId="5" priority="13" stdDev="1"/>
  </conditionalFormatting>
  <conditionalFormatting sqref="I12">
    <cfRule type="aboveAverage" dxfId="4" priority="11" stdDev="1"/>
  </conditionalFormatting>
  <conditionalFormatting sqref="K1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aboveAverage" priority="9" stdDev="1"/>
    <cfRule type="aboveAverage" dxfId="3" priority="10" stdDev="1"/>
  </conditionalFormatting>
  <conditionalFormatting sqref="J12">
    <cfRule type="aboveAverage" dxfId="2" priority="8" stdDev="1"/>
  </conditionalFormatting>
  <conditionalFormatting sqref="L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  <cfRule type="aboveAverage" priority="5" stdDev="1"/>
    <cfRule type="aboveAverage" dxfId="1" priority="6" stdDev="1"/>
  </conditionalFormatting>
  <conditionalFormatting sqref="L6:L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aboveAverage" priority="2" stdDev="1"/>
    <cfRule type="aboveAverage" dxfId="0" priority="3" stdDev="1"/>
  </conditionalFormatting>
  <dataValidations count="4">
    <dataValidation type="list" allowBlank="1" showInputMessage="1" showErrorMessage="1" sqref="A37:A42">
      <formula1>Transaction</formula1>
    </dataValidation>
    <dataValidation type="list" allowBlank="1" showInputMessage="1" showErrorMessage="1" sqref="E14 F23">
      <formula1>CountriesList</formula1>
    </dataValidation>
    <dataValidation type="list" allowBlank="1" showInputMessage="1" showErrorMessage="1" sqref="C5:D12">
      <formula1>countrylist</formula1>
    </dataValidation>
    <dataValidation type="list" allowBlank="1" showInputMessage="1" showErrorMessage="1" sqref="B5:B12">
      <formula1>customerlist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[1]Support!#REF!</xm:f>
          </x14:formula1>
          <xm:sqref>A43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4"/>
  <sheetViews>
    <sheetView topLeftCell="A40" workbookViewId="0">
      <selection activeCell="A52" sqref="A52"/>
    </sheetView>
  </sheetViews>
  <sheetFormatPr defaultRowHeight="16.5" x14ac:dyDescent="0.3"/>
  <cols>
    <col min="1" max="16384" width="9" style="126"/>
  </cols>
  <sheetData>
    <row r="1" spans="1:1" s="124" customFormat="1" x14ac:dyDescent="0.3">
      <c r="A1" s="124" t="s">
        <v>260</v>
      </c>
    </row>
    <row r="2" spans="1:1" x14ac:dyDescent="0.3">
      <c r="A2" s="125" t="s">
        <v>190</v>
      </c>
    </row>
    <row r="3" spans="1:1" x14ac:dyDescent="0.3">
      <c r="A3" s="125" t="s">
        <v>78</v>
      </c>
    </row>
    <row r="4" spans="1:1" x14ac:dyDescent="0.3">
      <c r="A4" s="125" t="s">
        <v>82</v>
      </c>
    </row>
    <row r="5" spans="1:1" x14ac:dyDescent="0.3">
      <c r="A5" s="125" t="s">
        <v>191</v>
      </c>
    </row>
    <row r="6" spans="1:1" x14ac:dyDescent="0.3">
      <c r="A6" s="125" t="s">
        <v>79</v>
      </c>
    </row>
    <row r="7" spans="1:1" x14ac:dyDescent="0.3">
      <c r="A7" s="125" t="s">
        <v>174</v>
      </c>
    </row>
    <row r="8" spans="1:1" x14ac:dyDescent="0.3">
      <c r="A8" s="125" t="s">
        <v>192</v>
      </c>
    </row>
    <row r="9" spans="1:1" x14ac:dyDescent="0.3">
      <c r="A9" s="125" t="s">
        <v>193</v>
      </c>
    </row>
    <row r="10" spans="1:1" ht="14.25" customHeight="1" x14ac:dyDescent="0.3">
      <c r="A10" s="125" t="s">
        <v>194</v>
      </c>
    </row>
    <row r="11" spans="1:1" x14ac:dyDescent="0.3">
      <c r="A11" s="125" t="s">
        <v>81</v>
      </c>
    </row>
    <row r="12" spans="1:1" x14ac:dyDescent="0.3">
      <c r="A12" s="125" t="s">
        <v>171</v>
      </c>
    </row>
    <row r="13" spans="1:1" x14ac:dyDescent="0.3">
      <c r="A13" s="125" t="s">
        <v>195</v>
      </c>
    </row>
    <row r="14" spans="1:1" x14ac:dyDescent="0.3">
      <c r="A14" s="125" t="s">
        <v>196</v>
      </c>
    </row>
    <row r="15" spans="1:1" x14ac:dyDescent="0.3">
      <c r="A15" s="125" t="s">
        <v>197</v>
      </c>
    </row>
    <row r="16" spans="1:1" x14ac:dyDescent="0.3">
      <c r="A16" s="125" t="s">
        <v>198</v>
      </c>
    </row>
    <row r="17" spans="1:1" x14ac:dyDescent="0.3">
      <c r="A17" s="125" t="s">
        <v>199</v>
      </c>
    </row>
    <row r="18" spans="1:1" x14ac:dyDescent="0.3">
      <c r="A18" s="125" t="s">
        <v>175</v>
      </c>
    </row>
    <row r="19" spans="1:1" x14ac:dyDescent="0.3">
      <c r="A19" s="125" t="s">
        <v>200</v>
      </c>
    </row>
    <row r="20" spans="1:1" x14ac:dyDescent="0.3">
      <c r="A20" s="125" t="s">
        <v>201</v>
      </c>
    </row>
    <row r="21" spans="1:1" x14ac:dyDescent="0.3">
      <c r="A21" s="125" t="s">
        <v>202</v>
      </c>
    </row>
    <row r="22" spans="1:1" x14ac:dyDescent="0.3">
      <c r="A22" s="125" t="s">
        <v>203</v>
      </c>
    </row>
    <row r="23" spans="1:1" x14ac:dyDescent="0.3">
      <c r="A23" s="125" t="s">
        <v>204</v>
      </c>
    </row>
    <row r="24" spans="1:1" x14ac:dyDescent="0.3">
      <c r="A24" s="125" t="s">
        <v>206</v>
      </c>
    </row>
    <row r="25" spans="1:1" x14ac:dyDescent="0.3">
      <c r="A25" s="125" t="s">
        <v>83</v>
      </c>
    </row>
    <row r="26" spans="1:1" x14ac:dyDescent="0.3">
      <c r="A26" s="125" t="s">
        <v>207</v>
      </c>
    </row>
    <row r="27" spans="1:1" x14ac:dyDescent="0.3">
      <c r="A27" s="125" t="s">
        <v>209</v>
      </c>
    </row>
    <row r="28" spans="1:1" x14ac:dyDescent="0.3">
      <c r="A28" s="125" t="s">
        <v>210</v>
      </c>
    </row>
    <row r="29" spans="1:1" x14ac:dyDescent="0.3">
      <c r="A29" s="125" t="s">
        <v>211</v>
      </c>
    </row>
    <row r="30" spans="1:1" x14ac:dyDescent="0.3">
      <c r="A30" s="125" t="s">
        <v>212</v>
      </c>
    </row>
    <row r="31" spans="1:1" x14ac:dyDescent="0.3">
      <c r="A31" s="125" t="s">
        <v>213</v>
      </c>
    </row>
    <row r="32" spans="1:1" ht="15.75" customHeight="1" x14ac:dyDescent="0.3">
      <c r="A32" s="125" t="s">
        <v>214</v>
      </c>
    </row>
    <row r="33" spans="1:1" x14ac:dyDescent="0.3">
      <c r="A33" s="125" t="s">
        <v>215</v>
      </c>
    </row>
    <row r="34" spans="1:1" x14ac:dyDescent="0.3">
      <c r="A34" s="125" t="s">
        <v>216</v>
      </c>
    </row>
    <row r="35" spans="1:1" x14ac:dyDescent="0.3">
      <c r="A35" s="125" t="s">
        <v>217</v>
      </c>
    </row>
    <row r="36" spans="1:1" x14ac:dyDescent="0.3">
      <c r="A36" s="125" t="s">
        <v>172</v>
      </c>
    </row>
    <row r="37" spans="1:1" x14ac:dyDescent="0.3">
      <c r="A37" s="125" t="s">
        <v>261</v>
      </c>
    </row>
    <row r="38" spans="1:1" x14ac:dyDescent="0.3">
      <c r="A38" s="125" t="s">
        <v>219</v>
      </c>
    </row>
    <row r="39" spans="1:1" x14ac:dyDescent="0.3">
      <c r="A39" s="125" t="s">
        <v>220</v>
      </c>
    </row>
    <row r="40" spans="1:1" x14ac:dyDescent="0.3">
      <c r="A40" s="125" t="s">
        <v>221</v>
      </c>
    </row>
    <row r="41" spans="1:1" x14ac:dyDescent="0.3">
      <c r="A41" s="125" t="s">
        <v>222</v>
      </c>
    </row>
    <row r="42" spans="1:1" x14ac:dyDescent="0.3">
      <c r="A42" s="125" t="s">
        <v>223</v>
      </c>
    </row>
    <row r="43" spans="1:1" x14ac:dyDescent="0.3">
      <c r="A43" s="126" t="s">
        <v>224</v>
      </c>
    </row>
    <row r="45" spans="1:1" s="128" customFormat="1" x14ac:dyDescent="0.3">
      <c r="A45" s="127" t="s">
        <v>262</v>
      </c>
    </row>
    <row r="46" spans="1:1" x14ac:dyDescent="0.3">
      <c r="A46" s="126" t="s">
        <v>121</v>
      </c>
    </row>
    <row r="47" spans="1:1" x14ac:dyDescent="0.3">
      <c r="A47" s="126" t="s">
        <v>122</v>
      </c>
    </row>
    <row r="48" spans="1:1" x14ac:dyDescent="0.3">
      <c r="A48" s="126" t="s">
        <v>263</v>
      </c>
    </row>
    <row r="49" spans="1:1" x14ac:dyDescent="0.3">
      <c r="A49" s="126" t="s">
        <v>264</v>
      </c>
    </row>
    <row r="50" spans="1:1" x14ac:dyDescent="0.3">
      <c r="A50" s="126" t="s">
        <v>265</v>
      </c>
    </row>
    <row r="51" spans="1:1" x14ac:dyDescent="0.3">
      <c r="A51" s="217" t="s">
        <v>284</v>
      </c>
    </row>
    <row r="52" spans="1:1" ht="14.25" customHeight="1" x14ac:dyDescent="0.3">
      <c r="A52" s="126" t="s">
        <v>266</v>
      </c>
    </row>
    <row r="53" spans="1:1" x14ac:dyDescent="0.3">
      <c r="A53" s="129" t="s">
        <v>123</v>
      </c>
    </row>
    <row r="54" spans="1:1" x14ac:dyDescent="0.3">
      <c r="A54" s="126" t="s">
        <v>267</v>
      </c>
    </row>
    <row r="55" spans="1:1" x14ac:dyDescent="0.3">
      <c r="A55" s="126" t="s">
        <v>268</v>
      </c>
    </row>
    <row r="57" spans="1:1" s="128" customFormat="1" x14ac:dyDescent="0.3">
      <c r="A57" s="128" t="s">
        <v>269</v>
      </c>
    </row>
    <row r="58" spans="1:1" x14ac:dyDescent="0.3">
      <c r="A58" s="126" t="s">
        <v>70</v>
      </c>
    </row>
    <row r="59" spans="1:1" x14ac:dyDescent="0.3">
      <c r="A59" s="126" t="s">
        <v>69</v>
      </c>
    </row>
    <row r="61" spans="1:1" s="128" customFormat="1" x14ac:dyDescent="0.3">
      <c r="A61" s="128" t="s">
        <v>270</v>
      </c>
    </row>
    <row r="62" spans="1:1" x14ac:dyDescent="0.3">
      <c r="A62" s="126" t="s">
        <v>271</v>
      </c>
    </row>
    <row r="63" spans="1:1" x14ac:dyDescent="0.3">
      <c r="A63" s="126" t="s">
        <v>272</v>
      </c>
    </row>
    <row r="64" spans="1:1" x14ac:dyDescent="0.3">
      <c r="A64" s="126" t="s">
        <v>273</v>
      </c>
    </row>
    <row r="65" spans="1:1" x14ac:dyDescent="0.3">
      <c r="A65" s="126" t="s">
        <v>274</v>
      </c>
    </row>
    <row r="68" spans="1:1" s="128" customFormat="1" x14ac:dyDescent="0.3">
      <c r="A68" s="131" t="s">
        <v>275</v>
      </c>
    </row>
    <row r="69" spans="1:1" x14ac:dyDescent="0.3">
      <c r="A69" s="132" t="s">
        <v>120</v>
      </c>
    </row>
    <row r="70" spans="1:1" x14ac:dyDescent="0.3">
      <c r="A70" s="132" t="s">
        <v>125</v>
      </c>
    </row>
    <row r="71" spans="1:1" x14ac:dyDescent="0.3">
      <c r="A71" s="132" t="s">
        <v>126</v>
      </c>
    </row>
    <row r="72" spans="1:1" x14ac:dyDescent="0.3">
      <c r="A72" s="132" t="s">
        <v>128</v>
      </c>
    </row>
    <row r="73" spans="1:1" x14ac:dyDescent="0.3">
      <c r="A73" s="132" t="s">
        <v>130</v>
      </c>
    </row>
    <row r="74" spans="1:1" x14ac:dyDescent="0.3">
      <c r="A74" s="132" t="s">
        <v>276</v>
      </c>
    </row>
    <row r="76" spans="1:1" s="128" customFormat="1" x14ac:dyDescent="0.3">
      <c r="A76" s="133" t="s">
        <v>277</v>
      </c>
    </row>
    <row r="77" spans="1:1" x14ac:dyDescent="0.3">
      <c r="A77" s="134" t="s">
        <v>43</v>
      </c>
    </row>
    <row r="78" spans="1:1" x14ac:dyDescent="0.3">
      <c r="A78" s="134" t="s">
        <v>44</v>
      </c>
    </row>
    <row r="79" spans="1:1" x14ac:dyDescent="0.3">
      <c r="A79" s="134" t="s">
        <v>56</v>
      </c>
    </row>
    <row r="80" spans="1:1" x14ac:dyDescent="0.3">
      <c r="A80" s="134" t="s">
        <v>45</v>
      </c>
    </row>
    <row r="82" spans="1:1" s="130" customFormat="1" x14ac:dyDescent="0.3">
      <c r="A82" s="130" t="s">
        <v>278</v>
      </c>
    </row>
    <row r="83" spans="1:1" x14ac:dyDescent="0.3">
      <c r="A83" s="126" t="s">
        <v>109</v>
      </c>
    </row>
    <row r="84" spans="1:1" x14ac:dyDescent="0.3">
      <c r="A84" s="126" t="s">
        <v>110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Risk Overview</vt:lpstr>
      <vt:lpstr>Company, incl. Services</vt:lpstr>
      <vt:lpstr>Customer</vt:lpstr>
      <vt:lpstr>Jurisdictions</vt:lpstr>
      <vt:lpstr>Transactions</vt:lpstr>
      <vt:lpstr>Support</vt:lpstr>
      <vt:lpstr>countrylist</vt:lpstr>
      <vt:lpstr>customerlist</vt:lpstr>
      <vt:lpstr>Custrisk</vt:lpstr>
      <vt:lpstr>legalid</vt:lpstr>
      <vt:lpstr>Legallayer</vt:lpstr>
      <vt:lpstr>Listofcos</vt:lpstr>
      <vt:lpstr>mgtclass</vt:lpstr>
      <vt:lpstr>Ops</vt:lpstr>
      <vt:lpstr>sensetiveid</vt:lpstr>
      <vt:lpstr>yesno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Sean Saminathan</dc:creator>
  <cp:keywords/>
  <dc:description/>
  <cp:lastModifiedBy>Jonathan Cheong</cp:lastModifiedBy>
  <cp:revision/>
  <dcterms:created xsi:type="dcterms:W3CDTF">2015-06-02T07:06:36Z</dcterms:created>
  <dcterms:modified xsi:type="dcterms:W3CDTF">2015-07-23T03:30:06Z</dcterms:modified>
</cp:coreProperties>
</file>